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D:\评估\2020-1-0318亦庄龙湖天地\"/>
    </mc:Choice>
  </mc:AlternateContent>
  <xr:revisionPtr revIDLastSave="0" documentId="13_ncr:1_{3042D192-304B-4991-8DA5-39690C8F639E}" xr6:coauthVersionLast="45" xr6:coauthVersionMax="45" xr10:uidLastSave="{00000000-0000-0000-0000-000000000000}"/>
  <bookViews>
    <workbookView xWindow="0" yWindow="204" windowWidth="13860" windowHeight="11892" tabRatio="875" firstSheet="15"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3" r:id="rId46"/>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89" i="3" l="1"/>
  <c r="F36" i="6"/>
  <c r="F35" i="6"/>
  <c r="F34" i="6"/>
  <c r="C40" i="39" l="1"/>
  <c r="I87" i="3"/>
  <c r="AT88" i="3"/>
  <c r="E65" i="39" s="1"/>
  <c r="B28" i="9" l="1"/>
  <c r="E59" i="39"/>
  <c r="E73" i="39" l="1"/>
  <c r="F73" i="39" s="1"/>
  <c r="G73" i="39" s="1"/>
  <c r="H73" i="39" s="1"/>
  <c r="I73" i="39" s="1"/>
  <c r="J73" i="39" s="1"/>
  <c r="K73" i="39" s="1"/>
  <c r="L73" i="39" s="1"/>
  <c r="M73" i="39" s="1"/>
  <c r="N73" i="39" s="1"/>
  <c r="O73" i="39" s="1"/>
  <c r="D73" i="39"/>
  <c r="L14" i="1" l="1"/>
  <c r="I48" i="39"/>
  <c r="G48" i="39"/>
  <c r="E48" i="39"/>
  <c r="B13" i="4" l="1"/>
  <c r="D12" i="69" l="1"/>
  <c r="D13" i="69" l="1"/>
  <c r="D14" i="69"/>
  <c r="D15" i="69"/>
  <c r="D17" i="69"/>
  <c r="C16" i="69"/>
  <c r="D16" i="69" s="1"/>
  <c r="D28" i="9"/>
  <c r="C18" i="69"/>
  <c r="D18" i="69" l="1"/>
  <c r="U6" i="1" s="1"/>
  <c r="L9" i="12"/>
  <c r="J15" i="68" l="1"/>
  <c r="J16" i="68"/>
  <c r="J17" i="68"/>
  <c r="J18" i="68"/>
  <c r="I18" i="68"/>
  <c r="E25" i="6"/>
  <c r="I9" i="12"/>
  <c r="I10" i="12" s="1"/>
  <c r="E24" i="6"/>
  <c r="A11" i="1"/>
  <c r="K11" i="1" s="1"/>
  <c r="I18" i="72"/>
  <c r="I19" i="72" s="1"/>
  <c r="I16" i="69"/>
  <c r="J16" i="69"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40" i="39"/>
  <c r="I13" i="39"/>
  <c r="I9" i="39"/>
  <c r="I7" i="39"/>
  <c r="AK7" i="69"/>
  <c r="Q73" i="70"/>
  <c r="Q60" i="70"/>
  <c r="D60" i="70"/>
  <c r="Q59" i="70"/>
  <c r="K59" i="70"/>
  <c r="P75" i="70" s="1"/>
  <c r="Q52" i="70"/>
  <c r="J50" i="70"/>
  <c r="M47" i="70"/>
  <c r="F33" i="70"/>
  <c r="F60" i="70" s="1"/>
  <c r="F23" i="70"/>
  <c r="D24" i="70" s="1"/>
  <c r="M19" i="70"/>
  <c r="F18" i="70"/>
  <c r="F17" i="70"/>
  <c r="F15" i="70"/>
  <c r="G13" i="39"/>
  <c r="G40" i="39"/>
  <c r="E40" i="39"/>
  <c r="G9" i="39"/>
  <c r="E9" i="39"/>
  <c r="G7" i="39"/>
  <c r="E7" i="39"/>
  <c r="D3" i="4"/>
  <c r="Q6" i="59"/>
  <c r="Q7" i="59"/>
  <c r="Q8" i="59"/>
  <c r="Q9" i="59"/>
  <c r="Q10" i="59"/>
  <c r="Q11" i="59"/>
  <c r="AB3" i="59" s="1"/>
  <c r="Q12" i="59"/>
  <c r="Q13" i="59"/>
  <c r="F13" i="59" s="1"/>
  <c r="Q14" i="59"/>
  <c r="Q15" i="59"/>
  <c r="Q16" i="59"/>
  <c r="Q17" i="59"/>
  <c r="F17" i="59" s="1"/>
  <c r="Q18" i="59"/>
  <c r="F19" i="59" s="1"/>
  <c r="Q19" i="59"/>
  <c r="AB19" i="59" s="1"/>
  <c r="Q20" i="59"/>
  <c r="Q21" i="59"/>
  <c r="Q22" i="59"/>
  <c r="Q23" i="59"/>
  <c r="Q24" i="59"/>
  <c r="Q25" i="59"/>
  <c r="Q26" i="59"/>
  <c r="F27" i="59" s="1"/>
  <c r="Q27" i="59"/>
  <c r="AB24" i="59" s="1"/>
  <c r="Q28" i="59"/>
  <c r="AB28" i="59"/>
  <c r="Q5" i="59"/>
  <c r="P6" i="59"/>
  <c r="P7" i="59"/>
  <c r="P8" i="59"/>
  <c r="P9" i="59"/>
  <c r="P10" i="59"/>
  <c r="AA8" i="59" s="1"/>
  <c r="P11" i="59"/>
  <c r="P12" i="59"/>
  <c r="P13" i="59"/>
  <c r="E13" i="59" s="1"/>
  <c r="P14" i="59"/>
  <c r="P15" i="59"/>
  <c r="P16" i="59"/>
  <c r="P17" i="59"/>
  <c r="P18" i="59"/>
  <c r="AA11" i="59" s="1"/>
  <c r="P19" i="59"/>
  <c r="P20" i="59"/>
  <c r="P21" i="59"/>
  <c r="P22" i="59"/>
  <c r="P23" i="59"/>
  <c r="P24" i="59"/>
  <c r="P25" i="59"/>
  <c r="P26" i="59"/>
  <c r="AA21" i="59" s="1"/>
  <c r="P27" i="59"/>
  <c r="P28" i="59"/>
  <c r="AA28" i="59" s="1"/>
  <c r="P5" i="59"/>
  <c r="O6" i="59"/>
  <c r="O7" i="59"/>
  <c r="O8" i="59"/>
  <c r="O9" i="59"/>
  <c r="O10" i="59"/>
  <c r="Y3" i="59" s="1"/>
  <c r="Z3" i="59" s="1"/>
  <c r="O11" i="59"/>
  <c r="O12" i="59"/>
  <c r="O13" i="59"/>
  <c r="C13" i="59" s="1"/>
  <c r="O14" i="59"/>
  <c r="O15" i="59"/>
  <c r="O16" i="59"/>
  <c r="O17" i="59"/>
  <c r="C17" i="59" s="1"/>
  <c r="O18" i="59"/>
  <c r="C19" i="59" s="1"/>
  <c r="D19" i="59" s="1"/>
  <c r="O19" i="59"/>
  <c r="O20" i="59"/>
  <c r="O21" i="59"/>
  <c r="O22" i="59"/>
  <c r="C23" i="59" s="1"/>
  <c r="O23" i="59"/>
  <c r="O24" i="59"/>
  <c r="O25" i="59"/>
  <c r="O26" i="59"/>
  <c r="O27" i="59"/>
  <c r="O28" i="59"/>
  <c r="Y28" i="59" s="1"/>
  <c r="Z28" i="59" s="1"/>
  <c r="O5" i="59"/>
  <c r="N6" i="59"/>
  <c r="N7" i="59"/>
  <c r="N8" i="59"/>
  <c r="N9" i="59"/>
  <c r="N10" i="59"/>
  <c r="X6" i="59" s="1"/>
  <c r="N11" i="59"/>
  <c r="N12" i="59"/>
  <c r="N13" i="59"/>
  <c r="B13" i="59" s="1"/>
  <c r="S13" i="59" s="1"/>
  <c r="N14" i="59"/>
  <c r="N15" i="59"/>
  <c r="N16" i="59"/>
  <c r="N17" i="59"/>
  <c r="B17" i="59" s="1"/>
  <c r="S17" i="59" s="1"/>
  <c r="N18" i="59"/>
  <c r="X11" i="59" s="1"/>
  <c r="N19" i="59"/>
  <c r="N20" i="59"/>
  <c r="N21" i="59"/>
  <c r="N22" i="59"/>
  <c r="B23" i="59" s="1"/>
  <c r="N23" i="59"/>
  <c r="N24" i="59"/>
  <c r="N25" i="59"/>
  <c r="N26" i="59"/>
  <c r="X25" i="59" s="1"/>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N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s="1"/>
  <c r="AH9" i="46"/>
  <c r="AH10" i="46" s="1"/>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F21" i="21" s="1"/>
  <c r="C21" i="21"/>
  <c r="Q27" i="40"/>
  <c r="Z27" i="40" s="1"/>
  <c r="D96" i="40"/>
  <c r="E96" i="40" s="1"/>
  <c r="F96" i="40" s="1"/>
  <c r="F27" i="40"/>
  <c r="AA27" i="40" s="1"/>
  <c r="Q31" i="39"/>
  <c r="Z31" i="39" s="1"/>
  <c r="D105" i="39"/>
  <c r="H31" i="39" s="1"/>
  <c r="G20" i="20"/>
  <c r="B85" i="46" s="1"/>
  <c r="C22" i="20"/>
  <c r="H18" i="35"/>
  <c r="J18" i="35"/>
  <c r="H21" i="37"/>
  <c r="J21" i="37"/>
  <c r="J21" i="34"/>
  <c r="H21" i="34"/>
  <c r="F21" i="33"/>
  <c r="H21" i="33"/>
  <c r="J21" i="33"/>
  <c r="H27" i="40"/>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L13" i="3" s="1"/>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S45" i="31" s="1"/>
  <c r="R46" i="31"/>
  <c r="S46" i="31" s="1"/>
  <c r="R47" i="31"/>
  <c r="S47" i="31" s="1"/>
  <c r="R48" i="31"/>
  <c r="S48" i="31" s="1"/>
  <c r="R49" i="31"/>
  <c r="S49" i="31" s="1"/>
  <c r="R50" i="31"/>
  <c r="S50" i="31" s="1"/>
  <c r="R51" i="31"/>
  <c r="S51" i="31" s="1"/>
  <c r="R52" i="31"/>
  <c r="S52" i="3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R74" i="31"/>
  <c r="S74" i="31" s="1"/>
  <c r="R75" i="31"/>
  <c r="S75" i="31" s="1"/>
  <c r="R76" i="31"/>
  <c r="S76" i="31"/>
  <c r="R77" i="31"/>
  <c r="R78" i="31"/>
  <c r="S78" i="31" s="1"/>
  <c r="R79" i="31"/>
  <c r="R80" i="31"/>
  <c r="S80" i="31" s="1"/>
  <c r="R81" i="3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S141" i="31" s="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S155" i="31" s="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S177" i="31" s="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R220" i="31"/>
  <c r="S220" i="31" s="1"/>
  <c r="R221" i="31"/>
  <c r="S221" i="31" s="1"/>
  <c r="R222" i="31"/>
  <c r="S222" i="31" s="1"/>
  <c r="R223" i="31"/>
  <c r="S223" i="31" s="1"/>
  <c r="R224" i="31"/>
  <c r="S224" i="31" s="1"/>
  <c r="R225" i="31"/>
  <c r="S225" i="31" s="1"/>
  <c r="R226" i="31"/>
  <c r="R227" i="31"/>
  <c r="R228" i="31"/>
  <c r="R229" i="31"/>
  <c r="R230" i="31"/>
  <c r="R231" i="31"/>
  <c r="S231" i="31" s="1"/>
  <c r="R232" i="31"/>
  <c r="S232" i="31" s="1"/>
  <c r="R233" i="31"/>
  <c r="S233" i="31" s="1"/>
  <c r="R234" i="31"/>
  <c r="R235" i="31"/>
  <c r="R236" i="31"/>
  <c r="R237" i="31"/>
  <c r="S237" i="31" s="1"/>
  <c r="R238" i="31"/>
  <c r="R239" i="31"/>
  <c r="R240" i="31"/>
  <c r="S240" i="31" s="1"/>
  <c r="R241" i="31"/>
  <c r="S241" i="31" s="1"/>
  <c r="R242" i="31"/>
  <c r="R243" i="31"/>
  <c r="R244" i="31"/>
  <c r="R245" i="31"/>
  <c r="R246" i="31"/>
  <c r="R247" i="31"/>
  <c r="S247" i="31" s="1"/>
  <c r="R248" i="31"/>
  <c r="S248" i="31" s="1"/>
  <c r="R249" i="31"/>
  <c r="S249" i="31" s="1"/>
  <c r="R250" i="31"/>
  <c r="R251" i="31"/>
  <c r="R252" i="31"/>
  <c r="R253" i="31"/>
  <c r="R254" i="31"/>
  <c r="R255" i="31"/>
  <c r="S255" i="31" s="1"/>
  <c r="R256" i="31"/>
  <c r="S256" i="31" s="1"/>
  <c r="R257" i="31"/>
  <c r="S257" i="31" s="1"/>
  <c r="R258" i="31"/>
  <c r="R259" i="31"/>
  <c r="R260" i="31"/>
  <c r="R261" i="31"/>
  <c r="R262" i="31"/>
  <c r="R263" i="31"/>
  <c r="S263" i="31" s="1"/>
  <c r="R264" i="31"/>
  <c r="S264" i="31" s="1"/>
  <c r="R265" i="31"/>
  <c r="S265" i="31" s="1"/>
  <c r="R266" i="31"/>
  <c r="R267" i="31"/>
  <c r="R268" i="31"/>
  <c r="R269" i="31"/>
  <c r="S269" i="31" s="1"/>
  <c r="R270" i="31"/>
  <c r="R271" i="31"/>
  <c r="S271" i="31" s="1"/>
  <c r="R272" i="31"/>
  <c r="S272" i="31" s="1"/>
  <c r="R273" i="31"/>
  <c r="S273" i="31" s="1"/>
  <c r="R274" i="31"/>
  <c r="R275" i="31"/>
  <c r="R276" i="31"/>
  <c r="R277" i="31"/>
  <c r="S277" i="31" s="1"/>
  <c r="R278" i="31"/>
  <c r="R279" i="31"/>
  <c r="R280" i="31"/>
  <c r="S280" i="31" s="1"/>
  <c r="R281" i="31"/>
  <c r="S281" i="31" s="1"/>
  <c r="R282" i="31"/>
  <c r="R283" i="31"/>
  <c r="R284" i="31"/>
  <c r="R285" i="31"/>
  <c r="R286" i="31"/>
  <c r="R287" i="31"/>
  <c r="S287" i="31" s="1"/>
  <c r="R288" i="31"/>
  <c r="S288" i="31" s="1"/>
  <c r="R289" i="31"/>
  <c r="S289" i="31" s="1"/>
  <c r="R290" i="31"/>
  <c r="R291" i="31"/>
  <c r="R292" i="31"/>
  <c r="R293" i="31"/>
  <c r="S293" i="31" s="1"/>
  <c r="R294" i="31"/>
  <c r="R295" i="31"/>
  <c r="S295" i="31" s="1"/>
  <c r="R296" i="31"/>
  <c r="S296" i="31" s="1"/>
  <c r="R297" i="31"/>
  <c r="S297" i="31" s="1"/>
  <c r="R298" i="31"/>
  <c r="R299" i="31"/>
  <c r="R300" i="31"/>
  <c r="R301" i="31"/>
  <c r="S301" i="31" s="1"/>
  <c r="R302" i="31"/>
  <c r="R303" i="31"/>
  <c r="R304" i="31"/>
  <c r="S304" i="31" s="1"/>
  <c r="R305" i="31"/>
  <c r="S305" i="31" s="1"/>
  <c r="R306" i="31"/>
  <c r="R307" i="31"/>
  <c r="R308" i="31"/>
  <c r="R309" i="31"/>
  <c r="R310" i="31"/>
  <c r="R311" i="31"/>
  <c r="S311" i="31" s="1"/>
  <c r="R312" i="31"/>
  <c r="S312" i="31" s="1"/>
  <c r="R313" i="31"/>
  <c r="S313" i="31" s="1"/>
  <c r="R314" i="31"/>
  <c r="R315" i="31"/>
  <c r="R316" i="31"/>
  <c r="R317" i="31"/>
  <c r="R318" i="31"/>
  <c r="R319" i="31"/>
  <c r="S319" i="31" s="1"/>
  <c r="R320" i="31"/>
  <c r="S320" i="31" s="1"/>
  <c r="R321" i="31"/>
  <c r="R322" i="31"/>
  <c r="R323" i="31"/>
  <c r="S323" i="31" s="1"/>
  <c r="R324" i="31"/>
  <c r="R325" i="31"/>
  <c r="S325" i="31" s="1"/>
  <c r="R326" i="31"/>
  <c r="R327" i="31"/>
  <c r="S327" i="31" s="1"/>
  <c r="R328" i="31"/>
  <c r="S328" i="31" s="1"/>
  <c r="R329" i="31"/>
  <c r="R330" i="31"/>
  <c r="R331" i="31"/>
  <c r="R332" i="31"/>
  <c r="S332" i="31" s="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R346" i="31"/>
  <c r="S346" i="31" s="1"/>
  <c r="R347" i="31"/>
  <c r="R348" i="31"/>
  <c r="R349" i="31"/>
  <c r="R350" i="31"/>
  <c r="S350" i="31" s="1"/>
  <c r="R351" i="31"/>
  <c r="S351" i="31" s="1"/>
  <c r="R352" i="31"/>
  <c r="S352" i="31" s="1"/>
  <c r="R353" i="31"/>
  <c r="R354" i="31"/>
  <c r="R355" i="31"/>
  <c r="S355" i="31" s="1"/>
  <c r="R356" i="31"/>
  <c r="R357" i="31"/>
  <c r="S357" i="31" s="1"/>
  <c r="R358" i="31"/>
  <c r="R359" i="31"/>
  <c r="S359" i="31" s="1"/>
  <c r="R360" i="31"/>
  <c r="S360" i="31" s="1"/>
  <c r="R361" i="31"/>
  <c r="R362" i="31"/>
  <c r="R363" i="31"/>
  <c r="R364" i="31"/>
  <c r="S364" i="31" s="1"/>
  <c r="R365" i="31"/>
  <c r="R366" i="31"/>
  <c r="R367" i="31"/>
  <c r="S367" i="31" s="1"/>
  <c r="R368" i="31"/>
  <c r="S368" i="31" s="1"/>
  <c r="R369" i="31"/>
  <c r="S369" i="31" s="1"/>
  <c r="R370" i="31"/>
  <c r="S370" i="31" s="1"/>
  <c r="R371" i="31"/>
  <c r="R372" i="31"/>
  <c r="S372" i="31" s="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S391" i="31" s="1"/>
  <c r="R392" i="31"/>
  <c r="S392" i="31" s="1"/>
  <c r="R393" i="31"/>
  <c r="S393" i="31" s="1"/>
  <c r="R394" i="31"/>
  <c r="R395" i="31"/>
  <c r="R396" i="31"/>
  <c r="S396" i="31" s="1"/>
  <c r="R397" i="31"/>
  <c r="S397" i="31" s="1"/>
  <c r="R398" i="31"/>
  <c r="R399" i="31"/>
  <c r="S399" i="31" s="1"/>
  <c r="R400" i="31"/>
  <c r="S400" i="31" s="1"/>
  <c r="R401" i="31"/>
  <c r="R402" i="31"/>
  <c r="S402" i="31" s="1"/>
  <c r="R403" i="31"/>
  <c r="R404" i="31"/>
  <c r="S404" i="31" s="1"/>
  <c r="R405" i="31"/>
  <c r="R406" i="31"/>
  <c r="S406" i="31" s="1"/>
  <c r="R407" i="31"/>
  <c r="S407" i="31" s="1"/>
  <c r="R408" i="31"/>
  <c r="S408" i="31" s="1"/>
  <c r="R409" i="31"/>
  <c r="R410" i="31"/>
  <c r="R411" i="31"/>
  <c r="S411" i="31" s="1"/>
  <c r="R412" i="31"/>
  <c r="S412" i="31" s="1"/>
  <c r="R413" i="31"/>
  <c r="R414" i="31"/>
  <c r="R415" i="31"/>
  <c r="S415" i="31" s="1"/>
  <c r="R416" i="31"/>
  <c r="S416" i="31" s="1"/>
  <c r="R417" i="31"/>
  <c r="R418" i="31"/>
  <c r="R419" i="31"/>
  <c r="R420" i="31"/>
  <c r="S420" i="31" s="1"/>
  <c r="R421" i="31"/>
  <c r="R422" i="31"/>
  <c r="R423" i="31"/>
  <c r="S423" i="31" s="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R477" i="31"/>
  <c r="R478" i="31"/>
  <c r="S478" i="31" s="1"/>
  <c r="R479" i="31"/>
  <c r="R480" i="31"/>
  <c r="S480" i="31" s="1"/>
  <c r="R481" i="31"/>
  <c r="R482" i="31"/>
  <c r="R483" i="31"/>
  <c r="R484" i="31"/>
  <c r="R485" i="31"/>
  <c r="R486" i="31"/>
  <c r="S486" i="31" s="1"/>
  <c r="R487" i="31"/>
  <c r="R488" i="31"/>
  <c r="S488" i="31" s="1"/>
  <c r="R489" i="31"/>
  <c r="R490" i="31"/>
  <c r="S490" i="31" s="1"/>
  <c r="R491" i="3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C2" i="65" s="1"/>
  <c r="B23" i="1"/>
  <c r="BC11" i="3"/>
  <c r="BD11" i="3"/>
  <c r="C11" i="11"/>
  <c r="C10" i="11" s="1"/>
  <c r="C30" i="40"/>
  <c r="D95" i="9"/>
  <c r="C95" i="9" s="1"/>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0" i="31"/>
  <c r="S409" i="31"/>
  <c r="S405" i="31"/>
  <c r="S403" i="31"/>
  <c r="S401" i="31"/>
  <c r="S398" i="31"/>
  <c r="S395" i="31"/>
  <c r="S394" i="31"/>
  <c r="S390" i="31"/>
  <c r="S389" i="31"/>
  <c r="S387" i="31"/>
  <c r="S386" i="31"/>
  <c r="S385" i="31"/>
  <c r="S382" i="31"/>
  <c r="S381" i="31"/>
  <c r="S380" i="31"/>
  <c r="S378" i="31"/>
  <c r="S375" i="31"/>
  <c r="S373" i="31"/>
  <c r="S371" i="31"/>
  <c r="S366" i="31"/>
  <c r="S365" i="31"/>
  <c r="S363" i="31"/>
  <c r="S362" i="31"/>
  <c r="S361" i="31"/>
  <c r="S358" i="31"/>
  <c r="S356" i="31"/>
  <c r="S354" i="31"/>
  <c r="S353" i="31"/>
  <c r="S349" i="31"/>
  <c r="S348" i="31"/>
  <c r="S347" i="31"/>
  <c r="S345" i="31"/>
  <c r="S342" i="31"/>
  <c r="S340" i="31"/>
  <c r="S338" i="31"/>
  <c r="S334" i="31"/>
  <c r="S331" i="31"/>
  <c r="S330" i="31"/>
  <c r="S329" i="31"/>
  <c r="S326" i="31"/>
  <c r="S324" i="31"/>
  <c r="S322" i="31"/>
  <c r="S321" i="31"/>
  <c r="S318" i="31"/>
  <c r="S317" i="31"/>
  <c r="S316" i="31"/>
  <c r="S315" i="31"/>
  <c r="S314" i="31"/>
  <c r="S310" i="31"/>
  <c r="S309" i="31"/>
  <c r="S308" i="31"/>
  <c r="S307" i="31"/>
  <c r="S306" i="31"/>
  <c r="S303" i="31"/>
  <c r="S302" i="31"/>
  <c r="S300" i="31"/>
  <c r="S299" i="31"/>
  <c r="S298" i="31"/>
  <c r="S294" i="31"/>
  <c r="S292" i="31"/>
  <c r="S291" i="31"/>
  <c r="S290" i="31"/>
  <c r="S286" i="31"/>
  <c r="S285" i="31"/>
  <c r="S284" i="31"/>
  <c r="S283" i="31"/>
  <c r="S282" i="31"/>
  <c r="S279" i="31"/>
  <c r="S278" i="31"/>
  <c r="S276" i="31"/>
  <c r="S275" i="31"/>
  <c r="S274" i="31"/>
  <c r="S270" i="31"/>
  <c r="S268" i="31"/>
  <c r="S267" i="31"/>
  <c r="S266" i="31"/>
  <c r="S262" i="31"/>
  <c r="S261" i="31"/>
  <c r="S260" i="31"/>
  <c r="S259" i="31"/>
  <c r="S258" i="31"/>
  <c r="S254" i="31"/>
  <c r="S253" i="31"/>
  <c r="S252" i="31"/>
  <c r="S251" i="31"/>
  <c r="S250" i="31"/>
  <c r="S246" i="31"/>
  <c r="S245" i="31"/>
  <c r="S244" i="31"/>
  <c r="S243" i="31"/>
  <c r="S242" i="31"/>
  <c r="S239" i="31"/>
  <c r="S238" i="31"/>
  <c r="S236" i="31"/>
  <c r="S235" i="31"/>
  <c r="S234" i="31"/>
  <c r="S230" i="31"/>
  <c r="S229" i="31"/>
  <c r="S228" i="31"/>
  <c r="S227" i="31"/>
  <c r="S226" i="31"/>
  <c r="S429" i="31"/>
  <c r="S427" i="31"/>
  <c r="S425" i="31"/>
  <c r="S219" i="31"/>
  <c r="S217" i="31"/>
  <c r="S209" i="31"/>
  <c r="S207" i="31"/>
  <c r="S205" i="31"/>
  <c r="S201" i="31"/>
  <c r="S199" i="31"/>
  <c r="S197" i="31"/>
  <c r="S193" i="31"/>
  <c r="S191" i="31"/>
  <c r="S189" i="31"/>
  <c r="S185" i="31"/>
  <c r="S183" i="31"/>
  <c r="S181" i="31"/>
  <c r="S175" i="31"/>
  <c r="S173" i="31"/>
  <c r="S169" i="31"/>
  <c r="S167" i="31"/>
  <c r="S163" i="31"/>
  <c r="S159" i="31"/>
  <c r="S157" i="31"/>
  <c r="S151" i="31"/>
  <c r="S147" i="31"/>
  <c r="S145" i="31"/>
  <c r="S139" i="31"/>
  <c r="S137" i="31"/>
  <c r="S133" i="31"/>
  <c r="S131" i="31"/>
  <c r="S129" i="31"/>
  <c r="S125" i="31"/>
  <c r="S123" i="31"/>
  <c r="S497" i="31"/>
  <c r="S493" i="31"/>
  <c r="S491" i="31"/>
  <c r="S489" i="31"/>
  <c r="S487" i="31"/>
  <c r="S485" i="31"/>
  <c r="S484" i="31"/>
  <c r="S483" i="31"/>
  <c r="S482" i="31"/>
  <c r="S481" i="31"/>
  <c r="S479" i="31"/>
  <c r="S477" i="31"/>
  <c r="S476" i="31"/>
  <c r="S475" i="31"/>
  <c r="S473" i="31"/>
  <c r="S471" i="31"/>
  <c r="S469" i="31"/>
  <c r="S441" i="31"/>
  <c r="S439" i="31"/>
  <c r="S437" i="31"/>
  <c r="S433" i="31"/>
  <c r="S121" i="31"/>
  <c r="S117" i="31"/>
  <c r="S115" i="31"/>
  <c r="S113" i="31"/>
  <c r="S465" i="31"/>
  <c r="S463" i="31"/>
  <c r="S461" i="31"/>
  <c r="S457" i="31"/>
  <c r="S455" i="31"/>
  <c r="S453" i="31"/>
  <c r="S53" i="31"/>
  <c r="S43" i="31"/>
  <c r="S41" i="31"/>
  <c r="S37" i="31"/>
  <c r="S35" i="31"/>
  <c r="S33" i="31"/>
  <c r="S77" i="31"/>
  <c r="S73" i="31"/>
  <c r="S69" i="31"/>
  <c r="S67" i="31"/>
  <c r="S65" i="31"/>
  <c r="S63" i="31"/>
  <c r="S61" i="31"/>
  <c r="S57" i="31"/>
  <c r="S55" i="31"/>
  <c r="S24" i="31"/>
  <c r="S97" i="31"/>
  <c r="S95" i="31"/>
  <c r="S93" i="31"/>
  <c r="S91"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AZ492" i="3" s="1"/>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L498" i="3" s="1"/>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A501" i="3" s="1"/>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A509" i="3" s="1"/>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A524" i="3" s="1"/>
  <c r="BE524" i="3"/>
  <c r="BF524" i="3"/>
  <c r="BG524" i="3"/>
  <c r="BH524" i="3"/>
  <c r="BI524" i="3"/>
  <c r="BJ524" i="3"/>
  <c r="BK524" i="3"/>
  <c r="BM524" i="3"/>
  <c r="BL524" i="3" s="1"/>
  <c r="BN524" i="3"/>
  <c r="BO524" i="3"/>
  <c r="BP524" i="3"/>
  <c r="BR524" i="3"/>
  <c r="BS524" i="3"/>
  <c r="BT524" i="3"/>
  <c r="H525" i="3"/>
  <c r="AC525" i="3"/>
  <c r="BB525" i="3"/>
  <c r="BC525" i="3"/>
  <c r="BD525" i="3"/>
  <c r="BE525" i="3"/>
  <c r="BF525" i="3"/>
  <c r="BA525" i="3" s="1"/>
  <c r="BG525" i="3"/>
  <c r="BH525" i="3"/>
  <c r="BI525" i="3"/>
  <c r="BJ525" i="3"/>
  <c r="BK525" i="3"/>
  <c r="BM525" i="3"/>
  <c r="BN525" i="3"/>
  <c r="BO525" i="3"/>
  <c r="BL525" i="3" s="1"/>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s="1"/>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L540" i="3" s="1"/>
  <c r="BT540" i="3"/>
  <c r="H541" i="3"/>
  <c r="AC541" i="3"/>
  <c r="BB541" i="3"/>
  <c r="BC541" i="3"/>
  <c r="BD541" i="3"/>
  <c r="BE541" i="3"/>
  <c r="BF541" i="3"/>
  <c r="BA541" i="3" s="1"/>
  <c r="BG541" i="3"/>
  <c r="BH541" i="3"/>
  <c r="BI541" i="3"/>
  <c r="BJ541" i="3"/>
  <c r="BK541" i="3"/>
  <c r="BM541" i="3"/>
  <c r="BN541" i="3"/>
  <c r="BO541" i="3"/>
  <c r="BL541" i="3" s="1"/>
  <c r="AZ541" i="3" s="1"/>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L550" i="3" s="1"/>
  <c r="BR550" i="3"/>
  <c r="BS550" i="3"/>
  <c r="BT550" i="3"/>
  <c r="H551" i="3"/>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A552" i="3" s="1"/>
  <c r="BI552" i="3"/>
  <c r="BJ552" i="3"/>
  <c r="BK552" i="3"/>
  <c r="BM552" i="3"/>
  <c r="BN552" i="3"/>
  <c r="BO552" i="3"/>
  <c r="BP552" i="3"/>
  <c r="BR552" i="3"/>
  <c r="BL552" i="3" s="1"/>
  <c r="BS552" i="3"/>
  <c r="BT552" i="3"/>
  <c r="H553" i="3"/>
  <c r="AC553" i="3"/>
  <c r="BB553" i="3"/>
  <c r="BC553" i="3"/>
  <c r="BD553" i="3"/>
  <c r="BE553" i="3"/>
  <c r="BA553" i="3" s="1"/>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A562" i="3" s="1"/>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L566" i="3" s="1"/>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H41" i="40" s="1"/>
  <c r="U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J34" i="40" s="1"/>
  <c r="W34" i="40" s="1"/>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W29" i="40" s="1"/>
  <c r="D94" i="40"/>
  <c r="E94" i="40" s="1"/>
  <c r="F94" i="40" s="1"/>
  <c r="G94" i="40" s="1"/>
  <c r="D92" i="40"/>
  <c r="E92" i="40" s="1"/>
  <c r="F92" i="40" s="1"/>
  <c r="G92" i="40" s="1"/>
  <c r="D90" i="40"/>
  <c r="E90" i="40" s="1"/>
  <c r="F90" i="40" s="1"/>
  <c r="G90" i="40" s="1"/>
  <c r="H21" i="40"/>
  <c r="AB21" i="40" s="1"/>
  <c r="D88" i="40"/>
  <c r="E88" i="40" s="1"/>
  <c r="F88" i="40" s="1"/>
  <c r="G88" i="40" s="1"/>
  <c r="D86" i="40"/>
  <c r="E86" i="40" s="1"/>
  <c r="F86" i="40" s="1"/>
  <c r="G86" i="40" s="1"/>
  <c r="J17" i="40"/>
  <c r="AC17" i="40" s="1"/>
  <c r="B83" i="40"/>
  <c r="J16" i="40" s="1"/>
  <c r="W16" i="40" s="1"/>
  <c r="B81" i="40"/>
  <c r="F15" i="40" s="1"/>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c r="Q30" i="40"/>
  <c r="Z30" i="40"/>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D122" i="39"/>
  <c r="H41" i="39" s="1"/>
  <c r="B116" i="39"/>
  <c r="D111" i="39"/>
  <c r="E111" i="39" s="1"/>
  <c r="F111" i="39" s="1"/>
  <c r="G111" i="39" s="1"/>
  <c r="H111" i="39" s="1"/>
  <c r="I111" i="39" s="1"/>
  <c r="J111" i="39" s="1"/>
  <c r="K111" i="39" s="1"/>
  <c r="L111" i="39" s="1"/>
  <c r="M111" i="39" s="1"/>
  <c r="D109" i="39"/>
  <c r="E109" i="39" s="1"/>
  <c r="F109" i="39" s="1"/>
  <c r="D107" i="39"/>
  <c r="D103" i="39"/>
  <c r="E103" i="39" s="1"/>
  <c r="F103" i="39" s="1"/>
  <c r="G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D124" i="39"/>
  <c r="E124" i="39" s="1"/>
  <c r="F124" i="39" s="1"/>
  <c r="G124" i="39" s="1"/>
  <c r="H124" i="39" s="1"/>
  <c r="I124" i="39" s="1"/>
  <c r="J124" i="39" s="1"/>
  <c r="K124" i="39" s="1"/>
  <c r="L124" i="39" s="1"/>
  <c r="M124" i="39" s="1"/>
  <c r="B106" i="39"/>
  <c r="J33" i="39" s="1"/>
  <c r="AC33" i="39" s="1"/>
  <c r="D99" i="39"/>
  <c r="H25" i="39" s="1"/>
  <c r="U25" i="39" s="1"/>
  <c r="D97" i="39"/>
  <c r="E97" i="39" s="1"/>
  <c r="D95" i="39"/>
  <c r="E95" i="39" s="1"/>
  <c r="F95" i="39" s="1"/>
  <c r="G95" i="39" s="1"/>
  <c r="D93" i="39"/>
  <c r="E93" i="39" s="1"/>
  <c r="F93" i="39" s="1"/>
  <c r="D91" i="39"/>
  <c r="E91" i="39" s="1"/>
  <c r="B88" i="39"/>
  <c r="F16" i="39" s="1"/>
  <c r="B86" i="39"/>
  <c r="B84" i="39"/>
  <c r="H14" i="39" s="1"/>
  <c r="U14" i="39" s="1"/>
  <c r="M81" i="39"/>
  <c r="L81" i="39"/>
  <c r="K81" i="39"/>
  <c r="J81" i="39"/>
  <c r="I81" i="39"/>
  <c r="H81" i="39"/>
  <c r="G81" i="39"/>
  <c r="F81" i="39"/>
  <c r="E81" i="39"/>
  <c r="D81" i="39"/>
  <c r="C81" i="39"/>
  <c r="P50" i="39"/>
  <c r="P49"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H38" i="37" s="1"/>
  <c r="AB38" i="37"/>
  <c r="C23" i="37"/>
  <c r="C19" i="37"/>
  <c r="C17" i="37"/>
  <c r="C15" i="37"/>
  <c r="B112" i="37"/>
  <c r="H40" i="37" s="1"/>
  <c r="AB40" i="37" s="1"/>
  <c r="D107" i="37"/>
  <c r="E107" i="37" s="1"/>
  <c r="F107" i="37" s="1"/>
  <c r="G107" i="37" s="1"/>
  <c r="H107" i="37" s="1"/>
  <c r="I107" i="37" s="1"/>
  <c r="J107" i="37" s="1"/>
  <c r="K107" i="37" s="1"/>
  <c r="L107" i="37" s="1"/>
  <c r="M107" i="37" s="1"/>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B68" i="37"/>
  <c r="J14" i="37" s="1"/>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F8" i="37"/>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F34" i="36" s="1"/>
  <c r="S34" i="36" s="1"/>
  <c r="D83" i="36"/>
  <c r="E83" i="36" s="1"/>
  <c r="F83" i="36" s="1"/>
  <c r="G83" i="36" s="1"/>
  <c r="H83" i="36" s="1"/>
  <c r="I83" i="36" s="1"/>
  <c r="J83" i="36" s="1"/>
  <c r="K83" i="36" s="1"/>
  <c r="L83" i="36" s="1"/>
  <c r="M83" i="36" s="1"/>
  <c r="D78" i="36"/>
  <c r="J26" i="36"/>
  <c r="W26" i="36" s="1"/>
  <c r="B75" i="36"/>
  <c r="F25" i="36" s="1"/>
  <c r="AA25" i="36" s="1"/>
  <c r="B73" i="36"/>
  <c r="F24" i="36" s="1"/>
  <c r="B71" i="36"/>
  <c r="D70" i="36"/>
  <c r="H22" i="36"/>
  <c r="D68" i="36"/>
  <c r="E68" i="36" s="1"/>
  <c r="F68" i="36" s="1"/>
  <c r="G68" i="36" s="1"/>
  <c r="D64" i="36"/>
  <c r="E64" i="36" s="1"/>
  <c r="F64" i="36" s="1"/>
  <c r="G64" i="36" s="1"/>
  <c r="J16" i="36"/>
  <c r="W16" i="36" s="1"/>
  <c r="D62" i="36"/>
  <c r="E62" i="36"/>
  <c r="F62" i="36" s="1"/>
  <c r="G62" i="36" s="1"/>
  <c r="B59" i="36"/>
  <c r="B57" i="36"/>
  <c r="B55" i="36"/>
  <c r="H11" i="36" s="1"/>
  <c r="AB11" i="36" s="1"/>
  <c r="F54" i="36"/>
  <c r="G54" i="36" s="1"/>
  <c r="H54" i="36" s="1"/>
  <c r="I54" i="36" s="1"/>
  <c r="J10" i="36"/>
  <c r="C51" i="36"/>
  <c r="J9" i="36" s="1"/>
  <c r="AC9" i="36" s="1"/>
  <c r="H9"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AA10" i="36" s="1"/>
  <c r="Q9" i="36"/>
  <c r="Z9" i="36" s="1"/>
  <c r="F9" i="36"/>
  <c r="S9" i="36" s="1"/>
  <c r="AA9" i="36"/>
  <c r="J8" i="36"/>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B101" i="35"/>
  <c r="J36" i="35" s="1"/>
  <c r="B99" i="35"/>
  <c r="J35" i="35" s="1"/>
  <c r="AC35" i="35" s="1"/>
  <c r="B97" i="35"/>
  <c r="J34" i="35" s="1"/>
  <c r="AC34" i="35" s="1"/>
  <c r="B77" i="35"/>
  <c r="F25" i="35" s="1"/>
  <c r="B75" i="35"/>
  <c r="B73" i="35"/>
  <c r="B57" i="35"/>
  <c r="B61" i="35"/>
  <c r="B59" i="35"/>
  <c r="H12" i="35" s="1"/>
  <c r="B131" i="34"/>
  <c r="F47" i="34" s="1"/>
  <c r="AA47" i="34" s="1"/>
  <c r="B129" i="34"/>
  <c r="B127" i="34"/>
  <c r="H45" i="34" s="1"/>
  <c r="U45" i="34" s="1"/>
  <c r="B99" i="34"/>
  <c r="J32" i="34" s="1"/>
  <c r="B97" i="34"/>
  <c r="J31" i="34"/>
  <c r="B95" i="34"/>
  <c r="B93" i="34"/>
  <c r="B75" i="34"/>
  <c r="H14" i="34" s="1"/>
  <c r="B73" i="34"/>
  <c r="B71" i="34"/>
  <c r="F12" i="34" s="1"/>
  <c r="B130" i="33"/>
  <c r="F46" i="33" s="1"/>
  <c r="B128" i="33"/>
  <c r="H45" i="33" s="1"/>
  <c r="B126" i="33"/>
  <c r="F44" i="33" s="1"/>
  <c r="S44" i="33" s="1"/>
  <c r="B98" i="33"/>
  <c r="B96" i="33"/>
  <c r="B94" i="33"/>
  <c r="H29" i="33" s="1"/>
  <c r="B74" i="33"/>
  <c r="J14" i="33" s="1"/>
  <c r="AC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U28" i="35" s="1"/>
  <c r="F28" i="35"/>
  <c r="S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F39" i="34"/>
  <c r="AA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AB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Q39" i="33"/>
  <c r="Z39" i="33" s="1"/>
  <c r="J39" i="33"/>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M102" i="21"/>
  <c r="D102" i="21"/>
  <c r="E102" i="21"/>
  <c r="F102" i="21"/>
  <c r="G102" i="21"/>
  <c r="H102" i="21"/>
  <c r="I102" i="21"/>
  <c r="J102" i="21"/>
  <c r="K102" i="21"/>
  <c r="L102" i="21"/>
  <c r="C102" i="21"/>
  <c r="C63" i="21"/>
  <c r="H9" i="21" s="1"/>
  <c r="U9" i="21" s="1"/>
  <c r="G18" i="20"/>
  <c r="C25" i="40"/>
  <c r="G16" i="20"/>
  <c r="B81" i="46" s="1"/>
  <c r="G15" i="20"/>
  <c r="B80" i="46" s="1"/>
  <c r="C24" i="20"/>
  <c r="C21" i="20"/>
  <c r="B73" i="46" s="1"/>
  <c r="C20" i="20"/>
  <c r="C27" i="39" s="1"/>
  <c r="C18" i="20"/>
  <c r="C17" i="20"/>
  <c r="B58" i="46" s="1"/>
  <c r="C16" i="20"/>
  <c r="B47" i="46" s="1"/>
  <c r="C15" i="20"/>
  <c r="B69" i="46" s="1"/>
  <c r="E54" i="21"/>
  <c r="F54" i="21" s="1"/>
  <c r="I54" i="21"/>
  <c r="J54" i="21" s="1"/>
  <c r="G54" i="21"/>
  <c r="H54" i="21" s="1"/>
  <c r="D125" i="21"/>
  <c r="D119" i="21"/>
  <c r="E119" i="21" s="1"/>
  <c r="F119" i="21" s="1"/>
  <c r="G119" i="21" s="1"/>
  <c r="H119" i="21" s="1"/>
  <c r="I119" i="21" s="1"/>
  <c r="J119" i="21" s="1"/>
  <c r="K119" i="21" s="1"/>
  <c r="L119" i="21" s="1"/>
  <c r="M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F35" i="21" s="1"/>
  <c r="S35" i="21" s="1"/>
  <c r="D106" i="2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B126" i="21"/>
  <c r="H44" i="21" s="1"/>
  <c r="U44" i="21" s="1"/>
  <c r="B98" i="21"/>
  <c r="H31" i="21" s="1"/>
  <c r="AB31" i="21" s="1"/>
  <c r="B96" i="21"/>
  <c r="B94" i="21"/>
  <c r="J29" i="21" s="1"/>
  <c r="AC29" i="21" s="1"/>
  <c r="B92" i="21"/>
  <c r="B90" i="21"/>
  <c r="F27" i="21" s="1"/>
  <c r="AA27" i="21" s="1"/>
  <c r="B74" i="21"/>
  <c r="B72" i="21"/>
  <c r="J13" i="21" s="1"/>
  <c r="W13" i="21" s="1"/>
  <c r="B70" i="21"/>
  <c r="F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G19"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AB10" i="21" s="1"/>
  <c r="H36" i="21"/>
  <c r="AB36" i="21" s="1"/>
  <c r="J10" i="21"/>
  <c r="H26" i="21"/>
  <c r="J26" i="21"/>
  <c r="W26" i="21" s="1"/>
  <c r="F26" i="21"/>
  <c r="S26" i="21" s="1"/>
  <c r="S10" i="39"/>
  <c r="F29" i="36"/>
  <c r="F16" i="36"/>
  <c r="F36" i="34"/>
  <c r="H39" i="33"/>
  <c r="S10" i="40"/>
  <c r="W10" i="40"/>
  <c r="S11" i="40"/>
  <c r="U11" i="40"/>
  <c r="S36" i="40"/>
  <c r="U36" i="40"/>
  <c r="AA38" i="21"/>
  <c r="U36" i="39"/>
  <c r="S42" i="39"/>
  <c r="H32" i="33"/>
  <c r="J27" i="36"/>
  <c r="J30" i="35"/>
  <c r="W30" i="35" s="1"/>
  <c r="F22" i="35"/>
  <c r="AA22" i="35" s="1"/>
  <c r="H10" i="35"/>
  <c r="J29" i="36"/>
  <c r="S10" i="36"/>
  <c r="H16" i="35"/>
  <c r="AB16" i="35" s="1"/>
  <c r="H33" i="35"/>
  <c r="F35" i="37"/>
  <c r="S35" i="37" s="1"/>
  <c r="E101" i="37"/>
  <c r="F101" i="37" s="1"/>
  <c r="G101" i="37" s="1"/>
  <c r="H101" i="37" s="1"/>
  <c r="I101" i="37" s="1"/>
  <c r="J101" i="37" s="1"/>
  <c r="K101" i="37" s="1"/>
  <c r="L101" i="37" s="1"/>
  <c r="M101" i="37" s="1"/>
  <c r="J34" i="37"/>
  <c r="W34" i="37" s="1"/>
  <c r="H43" i="34"/>
  <c r="AB43" i="34" s="1"/>
  <c r="H36" i="34"/>
  <c r="AB36" i="34" s="1"/>
  <c r="F37" i="34"/>
  <c r="F33" i="34"/>
  <c r="S33" i="34" s="1"/>
  <c r="F19" i="34"/>
  <c r="J10" i="34"/>
  <c r="AC10" i="34"/>
  <c r="F36" i="33"/>
  <c r="F19" i="33"/>
  <c r="AA19" i="33" s="1"/>
  <c r="J19" i="33"/>
  <c r="W19" i="33" s="1"/>
  <c r="AB30" i="36"/>
  <c r="H29" i="35"/>
  <c r="J19" i="34"/>
  <c r="H37" i="33"/>
  <c r="AC42" i="34"/>
  <c r="J37" i="33"/>
  <c r="W37" i="33" s="1"/>
  <c r="J44" i="34"/>
  <c r="F44" i="34"/>
  <c r="J10" i="35"/>
  <c r="AC10" i="35" s="1"/>
  <c r="AL5" i="3"/>
  <c r="J30" i="21"/>
  <c r="AC30" i="21" s="1"/>
  <c r="F46" i="21"/>
  <c r="S46" i="21" s="1"/>
  <c r="F33" i="35"/>
  <c r="S33" i="35" s="1"/>
  <c r="J33" i="35"/>
  <c r="F30" i="35"/>
  <c r="H10" i="36"/>
  <c r="AB10" i="36" s="1"/>
  <c r="F28" i="36"/>
  <c r="S28" i="36" s="1"/>
  <c r="F27" i="36"/>
  <c r="J45" i="33"/>
  <c r="W45" i="33" s="1"/>
  <c r="H28" i="36"/>
  <c r="AB28" i="36" s="1"/>
  <c r="J29" i="37"/>
  <c r="F29" i="37"/>
  <c r="S29" i="37" s="1"/>
  <c r="J37" i="37"/>
  <c r="AC37" i="37" s="1"/>
  <c r="H37" i="37"/>
  <c r="H30" i="33"/>
  <c r="U30" i="33" s="1"/>
  <c r="F29" i="34"/>
  <c r="S29" i="34" s="1"/>
  <c r="J47" i="34"/>
  <c r="AC47" i="34" s="1"/>
  <c r="J25" i="36"/>
  <c r="W25" i="36" s="1"/>
  <c r="H25" i="36"/>
  <c r="F14" i="37"/>
  <c r="AA14" i="37" s="1"/>
  <c r="J36" i="37"/>
  <c r="G18" i="3"/>
  <c r="BQ550" i="3"/>
  <c r="BQ520" i="3"/>
  <c r="BQ502" i="3"/>
  <c r="BQ492" i="3"/>
  <c r="BQ484" i="3"/>
  <c r="AC542" i="3"/>
  <c r="BQ542" i="3"/>
  <c r="BQ568" i="3"/>
  <c r="BQ566" i="3"/>
  <c r="BQ564" i="3"/>
  <c r="BQ562" i="3"/>
  <c r="BQ560" i="3"/>
  <c r="BQ558" i="3"/>
  <c r="BQ556" i="3"/>
  <c r="BQ554" i="3"/>
  <c r="BQ552" i="3"/>
  <c r="BQ548" i="3"/>
  <c r="BQ546" i="3"/>
  <c r="BQ544" i="3"/>
  <c r="G530" i="3"/>
  <c r="BQ540" i="3"/>
  <c r="BQ538" i="3"/>
  <c r="BQ536" i="3"/>
  <c r="BQ534" i="3"/>
  <c r="BQ532" i="3"/>
  <c r="BQ530" i="3"/>
  <c r="BQ528" i="3"/>
  <c r="BQ526" i="3"/>
  <c r="BQ524" i="3"/>
  <c r="BQ522" i="3"/>
  <c r="BQ518" i="3"/>
  <c r="BQ516" i="3"/>
  <c r="BQ514" i="3"/>
  <c r="BQ512" i="3"/>
  <c r="BQ510" i="3"/>
  <c r="BQ508" i="3"/>
  <c r="AC506" i="3"/>
  <c r="BQ506"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H43" i="33"/>
  <c r="AB43" i="33" s="1"/>
  <c r="H17" i="37"/>
  <c r="U17" i="37" s="1"/>
  <c r="F23" i="37"/>
  <c r="AA23" i="37" s="1"/>
  <c r="F39" i="33"/>
  <c r="AA39" i="33" s="1"/>
  <c r="F42" i="33"/>
  <c r="F22" i="36"/>
  <c r="H35" i="34"/>
  <c r="F41" i="34"/>
  <c r="H41" i="34"/>
  <c r="J41" i="34"/>
  <c r="F10" i="35"/>
  <c r="S10" i="35" s="1"/>
  <c r="H23" i="37"/>
  <c r="U23" i="37" s="1"/>
  <c r="J32" i="37"/>
  <c r="F36" i="37"/>
  <c r="S36" i="37" s="1"/>
  <c r="F37" i="37"/>
  <c r="AA37" i="37" s="1"/>
  <c r="H42" i="33"/>
  <c r="U42" i="33" s="1"/>
  <c r="J43" i="33"/>
  <c r="AC43" i="33" s="1"/>
  <c r="W43" i="33"/>
  <c r="J23" i="37"/>
  <c r="AC23" i="37" s="1"/>
  <c r="F17" i="37"/>
  <c r="AA17" i="37" s="1"/>
  <c r="D3" i="21"/>
  <c r="F43" i="33"/>
  <c r="AA43" i="33" s="1"/>
  <c r="H19" i="34"/>
  <c r="AB19" i="34" s="1"/>
  <c r="J10" i="37"/>
  <c r="F36" i="35"/>
  <c r="AA36" i="35" s="1"/>
  <c r="F11" i="37"/>
  <c r="H15" i="37"/>
  <c r="AB15" i="37" s="1"/>
  <c r="F31" i="37"/>
  <c r="H31" i="37"/>
  <c r="AB31" i="37" s="1"/>
  <c r="J15" i="37"/>
  <c r="J11" i="37"/>
  <c r="F21" i="40"/>
  <c r="W36" i="40"/>
  <c r="J21" i="40"/>
  <c r="AC21" i="40" s="1"/>
  <c r="S27" i="31"/>
  <c r="J57" i="39"/>
  <c r="H13" i="40"/>
  <c r="U13" i="40" s="1"/>
  <c r="H12" i="48"/>
  <c r="I4" i="4"/>
  <c r="K141" i="21"/>
  <c r="K143" i="21"/>
  <c r="K144" i="21"/>
  <c r="I59" i="40"/>
  <c r="C59" i="40" s="1"/>
  <c r="I60" i="40"/>
  <c r="C60" i="40" s="1"/>
  <c r="G297" i="3"/>
  <c r="BL298" i="3"/>
  <c r="G299" i="3"/>
  <c r="BA303" i="3"/>
  <c r="G304" i="3"/>
  <c r="G321" i="3"/>
  <c r="BL322" i="3"/>
  <c r="G323" i="3"/>
  <c r="BL324" i="3"/>
  <c r="BA327" i="3"/>
  <c r="G328" i="3"/>
  <c r="BA329" i="3"/>
  <c r="BL329" i="3"/>
  <c r="G337" i="3"/>
  <c r="BL338" i="3"/>
  <c r="G339" i="3"/>
  <c r="BL340" i="3"/>
  <c r="BL343" i="3"/>
  <c r="G344" i="3"/>
  <c r="BL345" i="3"/>
  <c r="G353" i="3"/>
  <c r="BL354" i="3"/>
  <c r="G355" i="3"/>
  <c r="G357" i="3"/>
  <c r="BL358" i="3"/>
  <c r="G359" i="3"/>
  <c r="BA361" i="3"/>
  <c r="G362" i="3"/>
  <c r="BA363" i="3"/>
  <c r="G371" i="3"/>
  <c r="G373" i="3"/>
  <c r="BA376" i="3"/>
  <c r="G378" i="3"/>
  <c r="BA379" i="3"/>
  <c r="G116" i="3"/>
  <c r="BA118" i="3"/>
  <c r="G120" i="3"/>
  <c r="BA122" i="3"/>
  <c r="BL123" i="3"/>
  <c r="G124" i="3"/>
  <c r="BA126" i="3"/>
  <c r="BL127" i="3"/>
  <c r="G128" i="3"/>
  <c r="BA130" i="3"/>
  <c r="G132" i="3"/>
  <c r="BA134" i="3"/>
  <c r="G136" i="3"/>
  <c r="BA138" i="3"/>
  <c r="BL139" i="3"/>
  <c r="G140" i="3"/>
  <c r="BL143" i="3"/>
  <c r="G144" i="3"/>
  <c r="BL147" i="3"/>
  <c r="G148" i="3"/>
  <c r="BA150" i="3"/>
  <c r="BL151" i="3"/>
  <c r="BL154" i="3"/>
  <c r="G155" i="3"/>
  <c r="BL158" i="3"/>
  <c r="G159" i="3"/>
  <c r="BA161" i="3"/>
  <c r="BL162" i="3"/>
  <c r="G163" i="3"/>
  <c r="BA165" i="3"/>
  <c r="BL166" i="3"/>
  <c r="G167" i="3"/>
  <c r="BA169" i="3"/>
  <c r="BL170" i="3"/>
  <c r="G171" i="3"/>
  <c r="BA173" i="3"/>
  <c r="G175" i="3"/>
  <c r="BA178" i="3"/>
  <c r="BL179" i="3"/>
  <c r="G180" i="3"/>
  <c r="BL181" i="3"/>
  <c r="G182" i="3"/>
  <c r="BA184" i="3"/>
  <c r="BL185" i="3"/>
  <c r="G186" i="3"/>
  <c r="BA188" i="3"/>
  <c r="AZ188" i="3" s="1"/>
  <c r="BL189" i="3"/>
  <c r="G190" i="3"/>
  <c r="BA192" i="3"/>
  <c r="BL193" i="3"/>
  <c r="G194" i="3"/>
  <c r="BA196" i="3"/>
  <c r="BL197" i="3"/>
  <c r="G198" i="3"/>
  <c r="BA200" i="3"/>
  <c r="BL201" i="3"/>
  <c r="BA299" i="3"/>
  <c r="G300" i="3"/>
  <c r="G303" i="3"/>
  <c r="BL304" i="3"/>
  <c r="BA306" i="3"/>
  <c r="BL307" i="3"/>
  <c r="G308" i="3"/>
  <c r="G319" i="3"/>
  <c r="BL323" i="3"/>
  <c r="G324" i="3"/>
  <c r="G327" i="3"/>
  <c r="BL328" i="3"/>
  <c r="BA331" i="3"/>
  <c r="G332" i="3"/>
  <c r="G335" i="3"/>
  <c r="BL336" i="3"/>
  <c r="BA339" i="3"/>
  <c r="G340" i="3"/>
  <c r="G343" i="3"/>
  <c r="BA346" i="3"/>
  <c r="BA347" i="3"/>
  <c r="G348" i="3"/>
  <c r="G351" i="3"/>
  <c r="BL352" i="3"/>
  <c r="BL355" i="3"/>
  <c r="G356" i="3"/>
  <c r="BL359" i="3"/>
  <c r="G360" i="3"/>
  <c r="G361" i="3"/>
  <c r="G366" i="3"/>
  <c r="G369" i="3"/>
  <c r="BA370" i="3"/>
  <c r="BA373" i="3"/>
  <c r="G377" i="3"/>
  <c r="BL378" i="3"/>
  <c r="AZ378" i="3" s="1"/>
  <c r="BA381" i="3"/>
  <c r="G382" i="3"/>
  <c r="G385" i="3"/>
  <c r="G298" i="3"/>
  <c r="BL301" i="3"/>
  <c r="BA304" i="3"/>
  <c r="G306" i="3"/>
  <c r="BA308" i="3"/>
  <c r="BA310" i="3"/>
  <c r="BL311" i="3"/>
  <c r="G312" i="3"/>
  <c r="BA312" i="3"/>
  <c r="G314" i="3"/>
  <c r="G316" i="3"/>
  <c r="BA316" i="3"/>
  <c r="G318" i="3"/>
  <c r="G322" i="3"/>
  <c r="G326" i="3"/>
  <c r="BA328" i="3"/>
  <c r="G330" i="3"/>
  <c r="BA332" i="3"/>
  <c r="G334" i="3"/>
  <c r="G338" i="3"/>
  <c r="BA340" i="3"/>
  <c r="G342" i="3"/>
  <c r="G346" i="3"/>
  <c r="BA352" i="3"/>
  <c r="BL353" i="3"/>
  <c r="G354" i="3"/>
  <c r="BA356" i="3"/>
  <c r="G358" i="3"/>
  <c r="G364" i="3"/>
  <c r="BA366" i="3"/>
  <c r="G368" i="3"/>
  <c r="G372" i="3"/>
  <c r="G376" i="3"/>
  <c r="BA378" i="3"/>
  <c r="G380" i="3"/>
  <c r="G384" i="3"/>
  <c r="H7" i="48"/>
  <c r="H16" i="48"/>
  <c r="H9" i="48"/>
  <c r="H8" i="48"/>
  <c r="C12" i="46"/>
  <c r="R16" i="4"/>
  <c r="P16" i="4"/>
  <c r="D3" i="35"/>
  <c r="G4" i="4"/>
  <c r="J16" i="35"/>
  <c r="U42" i="21"/>
  <c r="H11" i="37"/>
  <c r="U11" i="37" s="1"/>
  <c r="J33" i="34"/>
  <c r="J40" i="34"/>
  <c r="AC40" i="34" s="1"/>
  <c r="F16" i="35"/>
  <c r="AA16" i="35" s="1"/>
  <c r="J35" i="34"/>
  <c r="H16" i="36"/>
  <c r="AB16" i="36" s="1"/>
  <c r="H35" i="37"/>
  <c r="U35" i="37" s="1"/>
  <c r="F40" i="21"/>
  <c r="H40" i="21"/>
  <c r="F10" i="33"/>
  <c r="F11" i="33"/>
  <c r="J15" i="33"/>
  <c r="W15" i="33" s="1"/>
  <c r="H19" i="33"/>
  <c r="F32" i="33"/>
  <c r="J32" i="33"/>
  <c r="AC32" i="33" s="1"/>
  <c r="F35" i="33"/>
  <c r="F11" i="34"/>
  <c r="H17" i="34"/>
  <c r="F29" i="33"/>
  <c r="F30" i="34"/>
  <c r="H11" i="35"/>
  <c r="H32" i="37"/>
  <c r="AB32" i="37" s="1"/>
  <c r="U43" i="34"/>
  <c r="AA35" i="37"/>
  <c r="U38" i="21"/>
  <c r="H27" i="34"/>
  <c r="U27" i="34" s="1"/>
  <c r="U8" i="35"/>
  <c r="J14" i="35"/>
  <c r="F14" i="35"/>
  <c r="S14" i="35" s="1"/>
  <c r="H14" i="35"/>
  <c r="U14" i="35" s="1"/>
  <c r="E80" i="35"/>
  <c r="F80" i="35" s="1"/>
  <c r="G80" i="35" s="1"/>
  <c r="H80" i="35" s="1"/>
  <c r="I80" i="35" s="1"/>
  <c r="J80" i="35" s="1"/>
  <c r="K80" i="35" s="1"/>
  <c r="L80" i="35" s="1"/>
  <c r="M80" i="35" s="1"/>
  <c r="J32" i="35"/>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6" i="39"/>
  <c r="J46" i="39"/>
  <c r="F39" i="39"/>
  <c r="AA39" i="39" s="1"/>
  <c r="H39" i="39"/>
  <c r="J39" i="39"/>
  <c r="J29" i="35"/>
  <c r="AC29" i="35" s="1"/>
  <c r="F29" i="35"/>
  <c r="W30" i="36"/>
  <c r="F36" i="44"/>
  <c r="H38" i="34"/>
  <c r="U38" i="34" s="1"/>
  <c r="H30" i="40"/>
  <c r="AB30" i="40" s="1"/>
  <c r="J30" i="40"/>
  <c r="AC30" i="40" s="1"/>
  <c r="F38" i="40"/>
  <c r="AA38" i="40" s="1"/>
  <c r="H34" i="33"/>
  <c r="U34" i="33" s="1"/>
  <c r="F34" i="33"/>
  <c r="F41" i="33"/>
  <c r="S41" i="33" s="1"/>
  <c r="F15" i="34"/>
  <c r="AC28" i="35"/>
  <c r="W28" i="35"/>
  <c r="J20" i="35"/>
  <c r="AC20" i="35" s="1"/>
  <c r="H22" i="35"/>
  <c r="AB22" i="35" s="1"/>
  <c r="H16" i="39"/>
  <c r="U16" i="39" s="1"/>
  <c r="J16" i="39"/>
  <c r="H23" i="40"/>
  <c r="U23" i="40" s="1"/>
  <c r="F41" i="40"/>
  <c r="H36" i="33"/>
  <c r="AB36" i="33" s="1"/>
  <c r="H37" i="34"/>
  <c r="U37" i="34" s="1"/>
  <c r="J25" i="40"/>
  <c r="J32" i="40"/>
  <c r="AC32" i="40" s="1"/>
  <c r="H32" i="40"/>
  <c r="AB32" i="40" s="1"/>
  <c r="U32" i="40"/>
  <c r="H33" i="40"/>
  <c r="J33" i="40"/>
  <c r="J14" i="40"/>
  <c r="W14" i="40" s="1"/>
  <c r="B41" i="1"/>
  <c r="M18" i="70" s="1"/>
  <c r="H14" i="40"/>
  <c r="F32" i="40"/>
  <c r="S32" i="40" s="1"/>
  <c r="M1" i="46"/>
  <c r="M10" i="46"/>
  <c r="N2" i="46"/>
  <c r="N5" i="46"/>
  <c r="F58" i="46"/>
  <c r="H61" i="46" s="1"/>
  <c r="N7" i="46"/>
  <c r="M7" i="46"/>
  <c r="M11" i="46"/>
  <c r="N6" i="46"/>
  <c r="N10" i="46"/>
  <c r="F69" i="46"/>
  <c r="J13" i="40"/>
  <c r="AC14" i="40"/>
  <c r="J23" i="40"/>
  <c r="W23" i="40" s="1"/>
  <c r="F23" i="40"/>
  <c r="H20" i="35"/>
  <c r="F20" i="35"/>
  <c r="S20" i="35" s="1"/>
  <c r="H15" i="34"/>
  <c r="J15" i="34"/>
  <c r="H41" i="33"/>
  <c r="AB41" i="33" s="1"/>
  <c r="F30" i="40"/>
  <c r="F33" i="37"/>
  <c r="H15" i="33"/>
  <c r="H25" i="40"/>
  <c r="U25" i="40" s="1"/>
  <c r="J37" i="34"/>
  <c r="J36" i="33"/>
  <c r="W36" i="33" s="1"/>
  <c r="J34" i="33"/>
  <c r="AC34" i="33" s="1"/>
  <c r="F27" i="34"/>
  <c r="AA27" i="34" s="1"/>
  <c r="F32" i="37"/>
  <c r="S32" i="37" s="1"/>
  <c r="F17" i="34"/>
  <c r="AA17" i="34" s="1"/>
  <c r="J17" i="34"/>
  <c r="H11" i="34"/>
  <c r="J35" i="33"/>
  <c r="W35" i="33" s="1"/>
  <c r="H11" i="33"/>
  <c r="U11" i="33" s="1"/>
  <c r="H10" i="33"/>
  <c r="U10" i="33" s="1"/>
  <c r="J10" i="33"/>
  <c r="J11" i="34"/>
  <c r="AC11" i="34" s="1"/>
  <c r="F25" i="40"/>
  <c r="S25" i="40" s="1"/>
  <c r="J11" i="33"/>
  <c r="H33" i="37"/>
  <c r="B11" i="1"/>
  <c r="E11" i="1" s="1"/>
  <c r="B9" i="1"/>
  <c r="E9" i="1" s="1"/>
  <c r="B7" i="1"/>
  <c r="E7" i="1" s="1"/>
  <c r="M22" i="44"/>
  <c r="H20" i="36"/>
  <c r="J20" i="36"/>
  <c r="W20" i="36" s="1"/>
  <c r="F20" i="36"/>
  <c r="J14" i="36"/>
  <c r="W14" i="36" s="1"/>
  <c r="H14" i="36"/>
  <c r="U14" i="36" s="1"/>
  <c r="F14" i="36"/>
  <c r="AA14" i="36" s="1"/>
  <c r="S16" i="35"/>
  <c r="AC18" i="35"/>
  <c r="W18" i="35"/>
  <c r="U18" i="35"/>
  <c r="AB18" i="35"/>
  <c r="AB30" i="35"/>
  <c r="J33" i="37"/>
  <c r="AC33" i="37" s="1"/>
  <c r="J19" i="37"/>
  <c r="AC19" i="37" s="1"/>
  <c r="F19" i="37"/>
  <c r="AA19" i="37" s="1"/>
  <c r="H19" i="37"/>
  <c r="J17" i="37"/>
  <c r="AC21" i="37"/>
  <c r="W21" i="37"/>
  <c r="AB21" i="37"/>
  <c r="U21" i="37"/>
  <c r="AA33" i="34"/>
  <c r="U44" i="34"/>
  <c r="J25" i="34"/>
  <c r="H25" i="34"/>
  <c r="F25" i="34"/>
  <c r="J23" i="34"/>
  <c r="AC23" i="34" s="1"/>
  <c r="F23" i="34"/>
  <c r="S23" i="34" s="1"/>
  <c r="H23" i="34"/>
  <c r="U23" i="34" s="1"/>
  <c r="W10" i="34"/>
  <c r="AC21" i="34"/>
  <c r="W21" i="34"/>
  <c r="AB21" i="34"/>
  <c r="U21" i="34"/>
  <c r="U19" i="34"/>
  <c r="H25" i="33"/>
  <c r="U25" i="33" s="1"/>
  <c r="AB25" i="33"/>
  <c r="J25" i="33"/>
  <c r="W25" i="33" s="1"/>
  <c r="F25" i="33"/>
  <c r="J23" i="33"/>
  <c r="F23" i="33"/>
  <c r="S23" i="33" s="1"/>
  <c r="H23" i="33"/>
  <c r="F17" i="33"/>
  <c r="S17" i="33" s="1"/>
  <c r="H17" i="33"/>
  <c r="U17" i="33" s="1"/>
  <c r="J17" i="33"/>
  <c r="W17" i="33" s="1"/>
  <c r="AC21" i="33"/>
  <c r="W21" i="33"/>
  <c r="AB21" i="33"/>
  <c r="U21" i="33"/>
  <c r="AA21" i="33"/>
  <c r="S21" i="33"/>
  <c r="AC26" i="21"/>
  <c r="AB13" i="40"/>
  <c r="W11" i="40"/>
  <c r="U21" i="40"/>
  <c r="F37" i="40"/>
  <c r="S37" i="40" s="1"/>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H17" i="40"/>
  <c r="AB17" i="40" s="1"/>
  <c r="U10" i="40"/>
  <c r="U27" i="40"/>
  <c r="AB27" i="40"/>
  <c r="U31" i="39"/>
  <c r="AB31" i="39"/>
  <c r="M20" i="15"/>
  <c r="D96" i="9"/>
  <c r="A18" i="64"/>
  <c r="B74" i="63" s="1"/>
  <c r="A18" i="51"/>
  <c r="B14" i="63" s="1"/>
  <c r="K1" i="43"/>
  <c r="D26" i="44"/>
  <c r="N8" i="46"/>
  <c r="N4" i="46"/>
  <c r="F47" i="46"/>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S14" i="37"/>
  <c r="I20" i="46"/>
  <c r="L5" i="54"/>
  <c r="K5" i="54"/>
  <c r="B38" i="63" s="1"/>
  <c r="T41" i="4"/>
  <c r="B46" i="50"/>
  <c r="B4" i="63" s="1"/>
  <c r="S13" i="1"/>
  <c r="R13" i="1"/>
  <c r="B6" i="1"/>
  <c r="E6" i="1" s="1"/>
  <c r="B10" i="1"/>
  <c r="E10" i="1" s="1"/>
  <c r="B8" i="1"/>
  <c r="E8" i="1" s="1"/>
  <c r="B12" i="1"/>
  <c r="E12" i="1" s="1"/>
  <c r="F66" i="36"/>
  <c r="G66" i="36" s="1"/>
  <c r="H18" i="36"/>
  <c r="AB18" i="36" s="1"/>
  <c r="S25" i="36"/>
  <c r="W28" i="36"/>
  <c r="U10" i="36"/>
  <c r="W9" i="36"/>
  <c r="AA33" i="35"/>
  <c r="U32" i="35"/>
  <c r="W34" i="35"/>
  <c r="W35" i="37"/>
  <c r="U38" i="37"/>
  <c r="W47" i="34"/>
  <c r="S47" i="34"/>
  <c r="AA29" i="34"/>
  <c r="S8" i="34"/>
  <c r="S43" i="33"/>
  <c r="AB42" i="33"/>
  <c r="AA25" i="21"/>
  <c r="G96" i="40"/>
  <c r="J27" i="40"/>
  <c r="W27" i="40" s="1"/>
  <c r="U38" i="40"/>
  <c r="J31" i="39"/>
  <c r="W31" i="39" s="1"/>
  <c r="W42" i="39"/>
  <c r="W36" i="39"/>
  <c r="W10" i="39"/>
  <c r="U42" i="39"/>
  <c r="C19" i="39"/>
  <c r="C21" i="39"/>
  <c r="B55" i="46"/>
  <c r="B59" i="46"/>
  <c r="B64" i="46"/>
  <c r="D24" i="15"/>
  <c r="AA23" i="34"/>
  <c r="AA17" i="33"/>
  <c r="A9" i="51"/>
  <c r="B9" i="63" s="1"/>
  <c r="E4" i="4"/>
  <c r="B21" i="55" s="1"/>
  <c r="B72" i="63" s="1"/>
  <c r="C4" i="4"/>
  <c r="B20" i="55" s="1"/>
  <c r="B70" i="63" s="1"/>
  <c r="J18" i="36"/>
  <c r="AE8" i="1"/>
  <c r="AG6" i="1"/>
  <c r="C45" i="9"/>
  <c r="C46" i="9"/>
  <c r="K33" i="9" s="1"/>
  <c r="E17" i="46"/>
  <c r="H66" i="46"/>
  <c r="D100" i="46"/>
  <c r="AF12" i="46"/>
  <c r="K100" i="46"/>
  <c r="AB12" i="46"/>
  <c r="AJ12" i="46"/>
  <c r="E9" i="46"/>
  <c r="E11" i="46"/>
  <c r="E8" i="46"/>
  <c r="H77" i="46"/>
  <c r="AD12" i="46"/>
  <c r="AH12" i="46"/>
  <c r="G20" i="46"/>
  <c r="E41" i="46" s="1"/>
  <c r="C41" i="46" s="1"/>
  <c r="U32" i="37"/>
  <c r="AC30" i="37"/>
  <c r="AB44" i="21"/>
  <c r="AB38" i="39"/>
  <c r="F71" i="9"/>
  <c r="W14" i="37"/>
  <c r="AC14" i="37"/>
  <c r="U34" i="21"/>
  <c r="J12" i="21"/>
  <c r="H12" i="21"/>
  <c r="F44" i="21"/>
  <c r="J44" i="21"/>
  <c r="W44" i="21" s="1"/>
  <c r="AB16" i="39"/>
  <c r="U28" i="36"/>
  <c r="U16" i="35"/>
  <c r="F13" i="21"/>
  <c r="S13" i="21" s="1"/>
  <c r="H13" i="21"/>
  <c r="U13" i="21" s="1"/>
  <c r="H45" i="21"/>
  <c r="W36" i="35"/>
  <c r="AC36" i="35"/>
  <c r="AB17" i="37"/>
  <c r="U40" i="37"/>
  <c r="H31" i="34"/>
  <c r="U31" i="34" s="1"/>
  <c r="F31" i="34"/>
  <c r="AA31" i="34" s="1"/>
  <c r="U15" i="37"/>
  <c r="AA10" i="35"/>
  <c r="AA13" i="33"/>
  <c r="AB10" i="37"/>
  <c r="BL391" i="3"/>
  <c r="BL403" i="3"/>
  <c r="BL406" i="3"/>
  <c r="BA412" i="3"/>
  <c r="BL452" i="3"/>
  <c r="BA462" i="3"/>
  <c r="BA463" i="3"/>
  <c r="BL467" i="3"/>
  <c r="BL468" i="3"/>
  <c r="BL413" i="3"/>
  <c r="BA433" i="3"/>
  <c r="BA446" i="3"/>
  <c r="BL451" i="3"/>
  <c r="BA430" i="3"/>
  <c r="AZ430" i="3" s="1"/>
  <c r="BL397" i="3"/>
  <c r="G416" i="3"/>
  <c r="BA423" i="3"/>
  <c r="BA426" i="3"/>
  <c r="BA429" i="3"/>
  <c r="BL435" i="3"/>
  <c r="BA443" i="3"/>
  <c r="BL459" i="3"/>
  <c r="BL474" i="3"/>
  <c r="BL330" i="3"/>
  <c r="BA401" i="3"/>
  <c r="BL431" i="3"/>
  <c r="BA442" i="3"/>
  <c r="M20" i="70"/>
  <c r="BA389" i="3"/>
  <c r="BA390" i="3"/>
  <c r="AZ390" i="3" s="1"/>
  <c r="BL402" i="3"/>
  <c r="BL445" i="3"/>
  <c r="BA453" i="3"/>
  <c r="G404" i="3"/>
  <c r="BL428" i="3"/>
  <c r="BL441" i="3"/>
  <c r="BL442" i="3"/>
  <c r="BA452" i="3"/>
  <c r="BA465" i="3"/>
  <c r="BA468" i="3"/>
  <c r="BL470" i="3"/>
  <c r="BA479" i="3"/>
  <c r="BA337" i="3"/>
  <c r="BL366" i="3"/>
  <c r="BA375" i="3"/>
  <c r="BL216" i="3"/>
  <c r="BL229" i="3"/>
  <c r="BL289" i="3"/>
  <c r="G305" i="3"/>
  <c r="G320" i="3"/>
  <c r="BL384" i="3"/>
  <c r="G214" i="3"/>
  <c r="BL215" i="3"/>
  <c r="BA224" i="3"/>
  <c r="BL242" i="3"/>
  <c r="BA253" i="3"/>
  <c r="BL270" i="3"/>
  <c r="BA278" i="3"/>
  <c r="BA281" i="3"/>
  <c r="BA284" i="3"/>
  <c r="BA294" i="3"/>
  <c r="BA313" i="3"/>
  <c r="G375" i="3"/>
  <c r="BL382" i="3"/>
  <c r="BA207" i="3"/>
  <c r="BL210" i="3"/>
  <c r="BA221" i="3"/>
  <c r="BL225" i="3"/>
  <c r="BL227" i="3"/>
  <c r="BA235" i="3"/>
  <c r="BL239" i="3"/>
  <c r="BA251" i="3"/>
  <c r="BA254" i="3"/>
  <c r="BL254" i="3"/>
  <c r="BL256" i="3"/>
  <c r="G268" i="3"/>
  <c r="BL269" i="3"/>
  <c r="BA275" i="3"/>
  <c r="G284" i="3"/>
  <c r="BA291" i="3"/>
  <c r="BL295" i="3"/>
  <c r="BA121" i="3"/>
  <c r="BA311" i="3"/>
  <c r="BA368" i="3"/>
  <c r="BL209" i="3"/>
  <c r="BL211" i="3"/>
  <c r="BA238" i="3"/>
  <c r="BL240" i="3"/>
  <c r="BA264" i="3"/>
  <c r="BA274" i="3"/>
  <c r="BA290" i="3"/>
  <c r="BL121" i="3"/>
  <c r="BA131" i="3"/>
  <c r="BL310" i="3"/>
  <c r="BA367" i="3"/>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BA116" i="3"/>
  <c r="BL350" i="3"/>
  <c r="BA206" i="3"/>
  <c r="BL208" i="3"/>
  <c r="BA214" i="3"/>
  <c r="BA217" i="3"/>
  <c r="BL219" i="3"/>
  <c r="G220" i="3"/>
  <c r="BL222" i="3"/>
  <c r="BL237" i="3"/>
  <c r="BA243" i="3"/>
  <c r="BA245" i="3"/>
  <c r="BL248" i="3"/>
  <c r="G249" i="3"/>
  <c r="BL250" i="3"/>
  <c r="BA258" i="3"/>
  <c r="AZ258" i="3" s="1"/>
  <c r="BL261" i="3"/>
  <c r="BL290" i="3"/>
  <c r="BL291" i="3"/>
  <c r="AZ291" i="3" s="1"/>
  <c r="G117" i="3"/>
  <c r="BL142" i="3"/>
  <c r="BL308" i="3"/>
  <c r="G336" i="3"/>
  <c r="G388" i="3"/>
  <c r="BA213" i="3"/>
  <c r="BL218" i="3"/>
  <c r="BA227" i="3"/>
  <c r="AZ227" i="3" s="1"/>
  <c r="G233" i="3"/>
  <c r="G246" i="3"/>
  <c r="BA256" i="3"/>
  <c r="BL273" i="3"/>
  <c r="BA113" i="3"/>
  <c r="BA124" i="3"/>
  <c r="BA127" i="3"/>
  <c r="AZ127" i="3" s="1"/>
  <c r="BL155" i="3"/>
  <c r="BA176" i="3"/>
  <c r="BA180" i="3"/>
  <c r="BL125" i="3"/>
  <c r="BA129" i="3"/>
  <c r="BA140" i="3"/>
  <c r="BL156" i="3"/>
  <c r="BA167" i="3"/>
  <c r="BA170" i="3"/>
  <c r="AZ170" i="3" s="1"/>
  <c r="BA177" i="3"/>
  <c r="G179" i="3"/>
  <c r="BA189" i="3"/>
  <c r="BL120" i="3"/>
  <c r="BL128" i="3"/>
  <c r="BA132" i="3"/>
  <c r="BA139" i="3"/>
  <c r="BA141" i="3"/>
  <c r="BA166" i="3"/>
  <c r="AZ166" i="3" s="1"/>
  <c r="BA168" i="3"/>
  <c r="BA175" i="3"/>
  <c r="BL175" i="3"/>
  <c r="BL176" i="3"/>
  <c r="BL178" i="3"/>
  <c r="BL130" i="3"/>
  <c r="AZ130" i="3" s="1"/>
  <c r="BL137" i="3"/>
  <c r="BL169" i="3"/>
  <c r="BA186" i="3"/>
  <c r="G130" i="3"/>
  <c r="BL140" i="3"/>
  <c r="BA159" i="3"/>
  <c r="BA160" i="3"/>
  <c r="BA163" i="3"/>
  <c r="BL165" i="3"/>
  <c r="BL167" i="3"/>
  <c r="BL173" i="3"/>
  <c r="BL177" i="3"/>
  <c r="BA182" i="3"/>
  <c r="G133" i="3"/>
  <c r="G143" i="3"/>
  <c r="BA151" i="3"/>
  <c r="BL164" i="3"/>
  <c r="BL168" i="3"/>
  <c r="BA181" i="3"/>
  <c r="AZ181" i="3" s="1"/>
  <c r="G185" i="3"/>
  <c r="BL149" i="3"/>
  <c r="BA156" i="3"/>
  <c r="G160" i="3"/>
  <c r="BL184" i="3"/>
  <c r="E12" i="59"/>
  <c r="E11" i="59" s="1"/>
  <c r="U13" i="59"/>
  <c r="G110" i="3"/>
  <c r="G1" i="70"/>
  <c r="D35" i="59"/>
  <c r="C44" i="59"/>
  <c r="D43" i="59"/>
  <c r="E26" i="57"/>
  <c r="S21" i="34"/>
  <c r="AA21" i="34"/>
  <c r="O55" i="59"/>
  <c r="D55" i="59"/>
  <c r="O54" i="59"/>
  <c r="D31" i="59"/>
  <c r="C32" i="59"/>
  <c r="C33" i="59" s="1"/>
  <c r="C48" i="59"/>
  <c r="C49" i="59" s="1"/>
  <c r="D49" i="59" s="1"/>
  <c r="D47" i="59"/>
  <c r="Y13" i="59"/>
  <c r="Z13" i="59" s="1"/>
  <c r="B54" i="46"/>
  <c r="S18" i="35"/>
  <c r="E64" i="59"/>
  <c r="E63" i="59" s="1"/>
  <c r="B12" i="59"/>
  <c r="B11" i="59" s="1"/>
  <c r="B10" i="59" s="1"/>
  <c r="B9" i="59" s="1"/>
  <c r="C27" i="40"/>
  <c r="C71" i="59"/>
  <c r="D71" i="59" s="1"/>
  <c r="E23" i="59"/>
  <c r="E24" i="59" s="1"/>
  <c r="E25" i="59" s="1"/>
  <c r="U25" i="59" s="1"/>
  <c r="F60" i="59"/>
  <c r="F59" i="59" s="1"/>
  <c r="Y20" i="59"/>
  <c r="Z20" i="59" s="1"/>
  <c r="C12" i="59"/>
  <c r="C11" i="59" s="1"/>
  <c r="S27" i="40"/>
  <c r="D56" i="59"/>
  <c r="E68" i="59"/>
  <c r="E67" i="59" s="1"/>
  <c r="X10" i="59"/>
  <c r="O56" i="59"/>
  <c r="AB14" i="59"/>
  <c r="Y27" i="59"/>
  <c r="Z27" i="59" s="1"/>
  <c r="H15" i="39"/>
  <c r="U15" i="39" s="1"/>
  <c r="AA12" i="21"/>
  <c r="S12" i="21"/>
  <c r="L46" i="70"/>
  <c r="L46" i="15"/>
  <c r="D77" i="9"/>
  <c r="N75" i="9" s="1"/>
  <c r="E15" i="66"/>
  <c r="F15" i="66"/>
  <c r="J43" i="39"/>
  <c r="AC43" i="39" s="1"/>
  <c r="E83" i="21"/>
  <c r="F83" i="21" s="1"/>
  <c r="G83" i="21" s="1"/>
  <c r="L16" i="4"/>
  <c r="AP9" i="1"/>
  <c r="G9" i="1"/>
  <c r="AP11" i="1"/>
  <c r="G11" i="1"/>
  <c r="G13" i="1"/>
  <c r="C53" i="10"/>
  <c r="D19" i="4"/>
  <c r="B2" i="1"/>
  <c r="C7" i="36" s="1"/>
  <c r="C46" i="36" s="1"/>
  <c r="A11" i="51"/>
  <c r="B10" i="63" s="1"/>
  <c r="G10" i="1"/>
  <c r="N16" i="4"/>
  <c r="K12" i="1"/>
  <c r="M12" i="1" s="1"/>
  <c r="G21" i="3"/>
  <c r="BA22" i="3"/>
  <c r="G25" i="3"/>
  <c r="W39" i="21"/>
  <c r="G27" i="12"/>
  <c r="D24" i="44"/>
  <c r="G26" i="12"/>
  <c r="G22" i="43"/>
  <c r="G28" i="12"/>
  <c r="D22" i="70"/>
  <c r="G21" i="43"/>
  <c r="G23" i="43"/>
  <c r="H9" i="12"/>
  <c r="H10" i="12" s="1"/>
  <c r="T49" i="59"/>
  <c r="U10" i="21"/>
  <c r="AC17" i="33"/>
  <c r="AB29" i="33"/>
  <c r="U29" i="33"/>
  <c r="C29" i="39"/>
  <c r="B53" i="46"/>
  <c r="AB26" i="36"/>
  <c r="AC14" i="36"/>
  <c r="W27" i="36"/>
  <c r="AC27" i="36"/>
  <c r="U31" i="35"/>
  <c r="AB37" i="40"/>
  <c r="AA32" i="40"/>
  <c r="AC25" i="36"/>
  <c r="S40" i="34"/>
  <c r="AA40" i="34"/>
  <c r="AA14" i="35"/>
  <c r="U46" i="39"/>
  <c r="AB46" i="39"/>
  <c r="AC33" i="34"/>
  <c r="W33" i="34"/>
  <c r="S36" i="33"/>
  <c r="AA36" i="33"/>
  <c r="W14" i="33"/>
  <c r="AB11" i="33"/>
  <c r="W15" i="34"/>
  <c r="AC15" i="34"/>
  <c r="AA19" i="40"/>
  <c r="S19" i="40"/>
  <c r="U34" i="34"/>
  <c r="AC16" i="40"/>
  <c r="AB39" i="33"/>
  <c r="U39" i="33"/>
  <c r="H14" i="33"/>
  <c r="U14" i="33" s="1"/>
  <c r="F14" i="33"/>
  <c r="S14" i="33" s="1"/>
  <c r="J47" i="39"/>
  <c r="AC11" i="33"/>
  <c r="W11" i="33"/>
  <c r="AA26" i="21"/>
  <c r="U17" i="40"/>
  <c r="W11" i="34"/>
  <c r="E99" i="39"/>
  <c r="F99" i="39" s="1"/>
  <c r="G99" i="39" s="1"/>
  <c r="F25" i="39"/>
  <c r="AA25" i="39" s="1"/>
  <c r="AC38" i="21"/>
  <c r="AA20" i="35"/>
  <c r="S39" i="33"/>
  <c r="AC35" i="33"/>
  <c r="S39" i="34"/>
  <c r="F27" i="37"/>
  <c r="AA27" i="37" s="1"/>
  <c r="J27" i="37"/>
  <c r="W27" i="37" s="1"/>
  <c r="AB23" i="37"/>
  <c r="H25" i="37"/>
  <c r="J25" i="37"/>
  <c r="F25" i="37"/>
  <c r="S25" i="37" s="1"/>
  <c r="AC38" i="34"/>
  <c r="AB38" i="34"/>
  <c r="U43" i="33"/>
  <c r="AA29" i="37"/>
  <c r="BL539" i="3"/>
  <c r="F26" i="33"/>
  <c r="J26" i="33"/>
  <c r="W26" i="33" s="1"/>
  <c r="H26" i="33"/>
  <c r="AB26" i="33" s="1"/>
  <c r="AA34" i="34"/>
  <c r="S34" i="34"/>
  <c r="S23" i="37"/>
  <c r="G565" i="3"/>
  <c r="BA546" i="3"/>
  <c r="BA545" i="3"/>
  <c r="AB8" i="34"/>
  <c r="H43" i="21"/>
  <c r="U43" i="21" s="1"/>
  <c r="G543" i="3"/>
  <c r="G527" i="3"/>
  <c r="G482" i="3"/>
  <c r="G493" i="3"/>
  <c r="J35" i="21"/>
  <c r="W35" i="21" s="1"/>
  <c r="G533" i="3"/>
  <c r="G519" i="3"/>
  <c r="C110" i="9"/>
  <c r="BA448" i="3"/>
  <c r="BL479" i="3"/>
  <c r="BL299" i="3"/>
  <c r="BA300" i="3"/>
  <c r="BL300" i="3"/>
  <c r="G488" i="3"/>
  <c r="G12" i="1"/>
  <c r="BL390" i="3"/>
  <c r="G394" i="3"/>
  <c r="BA403" i="3"/>
  <c r="BL405" i="3"/>
  <c r="G408" i="3"/>
  <c r="BA414" i="3"/>
  <c r="BA421" i="3"/>
  <c r="BA427" i="3"/>
  <c r="G434" i="3"/>
  <c r="G435" i="3"/>
  <c r="BL476" i="3"/>
  <c r="BL477" i="3"/>
  <c r="AZ477" i="3" s="1"/>
  <c r="G479" i="3"/>
  <c r="BA240" i="3"/>
  <c r="BA25" i="3"/>
  <c r="AA18" i="36"/>
  <c r="S18" i="36"/>
  <c r="T65" i="59"/>
  <c r="C64" i="59"/>
  <c r="D64" i="59" s="1"/>
  <c r="D65" i="59"/>
  <c r="D17" i="59"/>
  <c r="T17" i="59"/>
  <c r="BL400" i="3"/>
  <c r="BL401" i="3"/>
  <c r="BA470" i="3"/>
  <c r="AZ470" i="3"/>
  <c r="BA473" i="3"/>
  <c r="BA480" i="3"/>
  <c r="BA209" i="3"/>
  <c r="BL236" i="3"/>
  <c r="BA272" i="3"/>
  <c r="BA148" i="3"/>
  <c r="BA158" i="3"/>
  <c r="BA90" i="3"/>
  <c r="E40" i="59"/>
  <c r="E41" i="59" s="1"/>
  <c r="U41" i="59" s="1"/>
  <c r="S61" i="59"/>
  <c r="B60" i="59"/>
  <c r="B59" i="59" s="1"/>
  <c r="G520" i="3"/>
  <c r="BA503" i="3"/>
  <c r="K145" i="21"/>
  <c r="BL393" i="3"/>
  <c r="BA397" i="3"/>
  <c r="G405" i="3"/>
  <c r="BL443" i="3"/>
  <c r="G208" i="3"/>
  <c r="BA208" i="3"/>
  <c r="AZ208" i="3"/>
  <c r="G216" i="3"/>
  <c r="BL234" i="3"/>
  <c r="BL285" i="3"/>
  <c r="BL286" i="3"/>
  <c r="BA119" i="3"/>
  <c r="BA147" i="3"/>
  <c r="BA152" i="3"/>
  <c r="BA155" i="3"/>
  <c r="BA49" i="3"/>
  <c r="BA71" i="3"/>
  <c r="BL91" i="3"/>
  <c r="BA93" i="3"/>
  <c r="BA396" i="3"/>
  <c r="AZ396" i="3" s="1"/>
  <c r="G431" i="3"/>
  <c r="BA455" i="3"/>
  <c r="BL471" i="3"/>
  <c r="G313" i="3"/>
  <c r="BA318" i="3"/>
  <c r="G331" i="3"/>
  <c r="BA369" i="3"/>
  <c r="BA371" i="3"/>
  <c r="G226" i="3"/>
  <c r="BA231" i="3"/>
  <c r="BL231" i="3"/>
  <c r="BL233" i="3"/>
  <c r="BA268" i="3"/>
  <c r="BA283" i="3"/>
  <c r="G285" i="3"/>
  <c r="BL146" i="3"/>
  <c r="G24" i="3"/>
  <c r="BA30" i="3"/>
  <c r="BA72" i="3"/>
  <c r="BA103" i="3"/>
  <c r="BA104" i="3"/>
  <c r="Q57" i="59"/>
  <c r="F56" i="59"/>
  <c r="Q56" i="59" s="1"/>
  <c r="BA420" i="3"/>
  <c r="G423" i="3"/>
  <c r="BL426" i="3"/>
  <c r="BL440" i="3"/>
  <c r="BL454" i="3"/>
  <c r="G457" i="3"/>
  <c r="BL469" i="3"/>
  <c r="G347" i="3"/>
  <c r="G363" i="3"/>
  <c r="BL364" i="3"/>
  <c r="BL220" i="3"/>
  <c r="BA226" i="3"/>
  <c r="BL232" i="3"/>
  <c r="BA247" i="3"/>
  <c r="BL257" i="3"/>
  <c r="G275" i="3"/>
  <c r="BL277" i="3"/>
  <c r="BL284" i="3"/>
  <c r="AZ284" i="3" s="1"/>
  <c r="G23" i="3"/>
  <c r="BA38" i="3"/>
  <c r="G73" i="3"/>
  <c r="G412" i="3"/>
  <c r="BL422" i="3"/>
  <c r="G425" i="3"/>
  <c r="BL429" i="3"/>
  <c r="AZ429" i="3" s="1"/>
  <c r="BA437" i="3"/>
  <c r="G454" i="3"/>
  <c r="BL306" i="3"/>
  <c r="BA218" i="3"/>
  <c r="BA277" i="3"/>
  <c r="BL281" i="3"/>
  <c r="AZ281" i="3" s="1"/>
  <c r="BA117" i="3"/>
  <c r="BL129" i="3"/>
  <c r="BA135" i="3"/>
  <c r="G49" i="3"/>
  <c r="G69" i="3"/>
  <c r="BA109" i="3"/>
  <c r="BL369" i="3"/>
  <c r="G205" i="3"/>
  <c r="G207" i="3"/>
  <c r="BA229" i="3"/>
  <c r="BL230" i="3"/>
  <c r="G232" i="3"/>
  <c r="G263" i="3"/>
  <c r="G271" i="3"/>
  <c r="G281" i="3"/>
  <c r="BL283" i="3"/>
  <c r="BL126" i="3"/>
  <c r="AZ126" i="3" s="1"/>
  <c r="G157" i="3"/>
  <c r="BL157" i="3"/>
  <c r="BA174" i="3"/>
  <c r="G178" i="3"/>
  <c r="G188" i="3"/>
  <c r="BL194" i="3"/>
  <c r="BA40" i="3"/>
  <c r="G46" i="3"/>
  <c r="BA46" i="3"/>
  <c r="G55" i="3"/>
  <c r="BA66" i="3"/>
  <c r="G102" i="3"/>
  <c r="BA110" i="3"/>
  <c r="S21" i="21"/>
  <c r="AA21" i="21"/>
  <c r="B36" i="59"/>
  <c r="B37" i="59" s="1"/>
  <c r="S37" i="59" s="1"/>
  <c r="V69" i="59"/>
  <c r="D73" i="59"/>
  <c r="D77" i="59"/>
  <c r="C76" i="59"/>
  <c r="D76" i="59" s="1"/>
  <c r="BL145" i="3"/>
  <c r="BA171" i="3"/>
  <c r="BL186" i="3"/>
  <c r="BL188" i="3"/>
  <c r="BA61" i="3"/>
  <c r="BA81" i="3"/>
  <c r="BA86" i="3"/>
  <c r="BL389" i="3"/>
  <c r="BL394" i="3"/>
  <c r="G398" i="3"/>
  <c r="BA428" i="3"/>
  <c r="BA438" i="3"/>
  <c r="BA441" i="3"/>
  <c r="BL464" i="3"/>
  <c r="G466" i="3"/>
  <c r="G476" i="3"/>
  <c r="BL480" i="3"/>
  <c r="BA301" i="3"/>
  <c r="AZ301" i="3" s="1"/>
  <c r="G367" i="3"/>
  <c r="G213" i="3"/>
  <c r="BA220" i="3"/>
  <c r="BL228" i="3"/>
  <c r="G250" i="3"/>
  <c r="BL258" i="3"/>
  <c r="BL259" i="3"/>
  <c r="G260" i="3"/>
  <c r="BA262" i="3"/>
  <c r="G269" i="3"/>
  <c r="BA276" i="3"/>
  <c r="G292" i="3"/>
  <c r="BL133" i="3"/>
  <c r="G134" i="3"/>
  <c r="BL138" i="3"/>
  <c r="BL144" i="3"/>
  <c r="G145" i="3"/>
  <c r="G174" i="3"/>
  <c r="BA185" i="3"/>
  <c r="BA32" i="3"/>
  <c r="BA39" i="3"/>
  <c r="BL53" i="3"/>
  <c r="BA65" i="3"/>
  <c r="G78" i="3"/>
  <c r="BA96" i="3"/>
  <c r="BA107" i="3"/>
  <c r="BA108" i="3"/>
  <c r="G112" i="3"/>
  <c r="AA10" i="46"/>
  <c r="B32" i="59"/>
  <c r="B33" i="59" s="1"/>
  <c r="S33" i="59" s="1"/>
  <c r="BL392" i="3"/>
  <c r="G396" i="3"/>
  <c r="BA432" i="3"/>
  <c r="G433" i="3"/>
  <c r="G439" i="3"/>
  <c r="BL462" i="3"/>
  <c r="G463" i="3"/>
  <c r="G464" i="3"/>
  <c r="BA471" i="3"/>
  <c r="G474" i="3"/>
  <c r="BL475" i="3"/>
  <c r="BL314" i="3"/>
  <c r="G317" i="3"/>
  <c r="BL346" i="3"/>
  <c r="BA210" i="3"/>
  <c r="BL217" i="3"/>
  <c r="G219" i="3"/>
  <c r="BA239" i="3"/>
  <c r="AZ239" i="3" s="1"/>
  <c r="BA242" i="3"/>
  <c r="BL245" i="3"/>
  <c r="G247" i="3"/>
  <c r="BL260" i="3"/>
  <c r="BL267" i="3"/>
  <c r="BL271" i="3"/>
  <c r="BL132" i="3"/>
  <c r="BL136" i="3"/>
  <c r="BA29" i="3"/>
  <c r="G40" i="3"/>
  <c r="BA68" i="3"/>
  <c r="BA75" i="3"/>
  <c r="BA91" i="3"/>
  <c r="BA95" i="3"/>
  <c r="BA105" i="3"/>
  <c r="I15" i="57"/>
  <c r="P27" i="6"/>
  <c r="E55" i="59"/>
  <c r="P54" i="59" s="1"/>
  <c r="S65" i="59"/>
  <c r="S69" i="59"/>
  <c r="B68" i="59"/>
  <c r="B67" i="59" s="1"/>
  <c r="F12" i="59"/>
  <c r="V13" i="59"/>
  <c r="G414" i="3"/>
  <c r="G415" i="3"/>
  <c r="BA425" i="3"/>
  <c r="G432" i="3"/>
  <c r="G436" i="3"/>
  <c r="G460" i="3"/>
  <c r="G462" i="3"/>
  <c r="BL463" i="3"/>
  <c r="G301" i="3"/>
  <c r="BL312" i="3"/>
  <c r="AZ312" i="3"/>
  <c r="BA320" i="3"/>
  <c r="AZ320" i="3" s="1"/>
  <c r="BL320" i="3"/>
  <c r="BL349" i="3"/>
  <c r="BA365" i="3"/>
  <c r="BL365" i="3"/>
  <c r="BA383" i="3"/>
  <c r="BL383" i="3"/>
  <c r="BA205" i="3"/>
  <c r="G217" i="3"/>
  <c r="G245" i="3"/>
  <c r="G257" i="3"/>
  <c r="BA260" i="3"/>
  <c r="BA267" i="3"/>
  <c r="G276" i="3"/>
  <c r="BA282" i="3"/>
  <c r="BA286" i="3"/>
  <c r="G289" i="3"/>
  <c r="BL293" i="3"/>
  <c r="G183" i="3"/>
  <c r="G196" i="3"/>
  <c r="G204" i="3"/>
  <c r="BL204" i="3"/>
  <c r="G22" i="3"/>
  <c r="G37" i="3"/>
  <c r="BA55" i="3"/>
  <c r="BA73" i="3"/>
  <c r="BA82" i="3"/>
  <c r="G93" i="3"/>
  <c r="G96" i="3"/>
  <c r="BA102" i="3"/>
  <c r="E48" i="59"/>
  <c r="E49" i="59" s="1"/>
  <c r="U49" i="59" s="1"/>
  <c r="G261" i="3"/>
  <c r="BA269" i="3"/>
  <c r="BA270" i="3"/>
  <c r="BL274" i="3"/>
  <c r="G278" i="3"/>
  <c r="G279" i="3"/>
  <c r="BA279" i="3"/>
  <c r="BA289" i="3"/>
  <c r="BA292" i="3"/>
  <c r="AZ292" i="3" s="1"/>
  <c r="G114" i="3"/>
  <c r="G115" i="3"/>
  <c r="BL152" i="3"/>
  <c r="BL153" i="3"/>
  <c r="BL163" i="3"/>
  <c r="G172" i="3"/>
  <c r="BA194" i="3"/>
  <c r="BA28" i="3"/>
  <c r="BA34" i="3"/>
  <c r="BA48" i="3"/>
  <c r="G51" i="3"/>
  <c r="BA59" i="3"/>
  <c r="BA64" i="3"/>
  <c r="BA78" i="3"/>
  <c r="G85" i="3"/>
  <c r="BA99" i="3"/>
  <c r="F52" i="59"/>
  <c r="F53" i="59" s="1"/>
  <c r="V53" i="59" s="1"/>
  <c r="A30" i="51"/>
  <c r="B22" i="63" s="1"/>
  <c r="BA265" i="3"/>
  <c r="BL268" i="3"/>
  <c r="G274" i="3"/>
  <c r="BA287" i="3"/>
  <c r="G129" i="3"/>
  <c r="BA136" i="3"/>
  <c r="G141" i="3"/>
  <c r="G153" i="3"/>
  <c r="BL160" i="3"/>
  <c r="G161" i="3"/>
  <c r="BL171" i="3"/>
  <c r="BL182" i="3"/>
  <c r="G184" i="3"/>
  <c r="BA193" i="3"/>
  <c r="AZ193" i="3" s="1"/>
  <c r="BL196" i="3"/>
  <c r="BA21" i="3"/>
  <c r="BA27" i="3"/>
  <c r="G30" i="3"/>
  <c r="G77" i="3"/>
  <c r="BL81" i="3"/>
  <c r="BA97" i="3"/>
  <c r="G104" i="3"/>
  <c r="BL16" i="3"/>
  <c r="AB8" i="37"/>
  <c r="U8" i="37"/>
  <c r="AC33" i="36"/>
  <c r="F97" i="39"/>
  <c r="F23" i="39" s="1"/>
  <c r="AA23" i="39" s="1"/>
  <c r="G486" i="3"/>
  <c r="H46" i="34"/>
  <c r="F46" i="34"/>
  <c r="S46" i="34" s="1"/>
  <c r="J46" i="34"/>
  <c r="S23" i="40"/>
  <c r="AA23" i="40"/>
  <c r="S14" i="40"/>
  <c r="AA14" i="40"/>
  <c r="BA534" i="3"/>
  <c r="BA519" i="3"/>
  <c r="AB27" i="34"/>
  <c r="S11" i="34"/>
  <c r="AA11" i="34"/>
  <c r="U31" i="21"/>
  <c r="S36" i="35"/>
  <c r="U36" i="33"/>
  <c r="AA29" i="36"/>
  <c r="S29" i="36"/>
  <c r="AA10" i="21"/>
  <c r="F31" i="21"/>
  <c r="S31" i="21" s="1"/>
  <c r="AB14" i="34"/>
  <c r="U14" i="34"/>
  <c r="H58" i="46"/>
  <c r="H64" i="46"/>
  <c r="H60" i="46"/>
  <c r="H65" i="46"/>
  <c r="H62" i="46"/>
  <c r="H59" i="46"/>
  <c r="AA31" i="37"/>
  <c r="S31" i="37"/>
  <c r="U8" i="21"/>
  <c r="AB8" i="21"/>
  <c r="AZ176" i="3"/>
  <c r="F66" i="9"/>
  <c r="P72" i="9" s="1"/>
  <c r="F34" i="44"/>
  <c r="F29" i="12"/>
  <c r="B39" i="63"/>
  <c r="U20" i="35"/>
  <c r="AB20" i="35"/>
  <c r="S41" i="34"/>
  <c r="AA41" i="34"/>
  <c r="BL532" i="3"/>
  <c r="S17" i="34"/>
  <c r="W10" i="35"/>
  <c r="AA13" i="40"/>
  <c r="S13" i="40"/>
  <c r="U18" i="36"/>
  <c r="S37" i="37"/>
  <c r="W30" i="40"/>
  <c r="AC29" i="37"/>
  <c r="W29" i="37"/>
  <c r="W33" i="35"/>
  <c r="AC33" i="35"/>
  <c r="AC37" i="33"/>
  <c r="J11" i="36"/>
  <c r="W11" i="36" s="1"/>
  <c r="H53" i="46"/>
  <c r="W23" i="37"/>
  <c r="S27" i="21"/>
  <c r="F29" i="40"/>
  <c r="W20" i="35"/>
  <c r="H29" i="39"/>
  <c r="AB29" i="39" s="1"/>
  <c r="J14" i="34"/>
  <c r="W14" i="34" s="1"/>
  <c r="U36" i="34"/>
  <c r="AB40" i="33"/>
  <c r="U40" i="33"/>
  <c r="W36" i="34"/>
  <c r="AC36" i="34"/>
  <c r="F12" i="33"/>
  <c r="AA12" i="33" s="1"/>
  <c r="H13" i="34"/>
  <c r="AB13" i="34" s="1"/>
  <c r="F13" i="34"/>
  <c r="S13" i="34" s="1"/>
  <c r="J13" i="34"/>
  <c r="W13" i="34" s="1"/>
  <c r="AC19" i="33"/>
  <c r="AC38" i="33"/>
  <c r="W38" i="33"/>
  <c r="F28" i="33"/>
  <c r="S28" i="33" s="1"/>
  <c r="H28" i="33"/>
  <c r="AB28" i="33" s="1"/>
  <c r="J28" i="33"/>
  <c r="W28" i="33" s="1"/>
  <c r="J13" i="33"/>
  <c r="W13" i="33" s="1"/>
  <c r="J44" i="33"/>
  <c r="AC44" i="33" s="1"/>
  <c r="H44" i="33"/>
  <c r="AB44" i="33" s="1"/>
  <c r="H23" i="36"/>
  <c r="AB34" i="37"/>
  <c r="U34" i="37"/>
  <c r="W40" i="21"/>
  <c r="U11" i="35"/>
  <c r="AB11" i="35"/>
  <c r="U36" i="21"/>
  <c r="AC13" i="21"/>
  <c r="H37" i="21"/>
  <c r="U37" i="21" s="1"/>
  <c r="J9" i="21"/>
  <c r="AC9" i="21" s="1"/>
  <c r="F9" i="21"/>
  <c r="S9" i="21" s="1"/>
  <c r="AC31" i="35"/>
  <c r="AA46" i="21"/>
  <c r="J14" i="21"/>
  <c r="W14" i="21" s="1"/>
  <c r="H46" i="21"/>
  <c r="U46" i="21" s="1"/>
  <c r="J46" i="21"/>
  <c r="J9" i="33"/>
  <c r="AC9" i="33" s="1"/>
  <c r="H9" i="33"/>
  <c r="AB9" i="33" s="1"/>
  <c r="F9" i="33"/>
  <c r="AA10" i="37"/>
  <c r="S10" i="37"/>
  <c r="J40" i="37"/>
  <c r="F40" i="37"/>
  <c r="AA40" i="37" s="1"/>
  <c r="AB35" i="37"/>
  <c r="B76" i="46"/>
  <c r="B66" i="46"/>
  <c r="J45" i="34"/>
  <c r="W45" i="34" s="1"/>
  <c r="F38" i="37"/>
  <c r="J38" i="37"/>
  <c r="W38" i="37" s="1"/>
  <c r="E107" i="39"/>
  <c r="F33" i="39" s="1"/>
  <c r="S33" i="39" s="1"/>
  <c r="U40" i="34"/>
  <c r="AB40" i="34"/>
  <c r="AA30" i="37"/>
  <c r="S30" i="37"/>
  <c r="C52" i="59"/>
  <c r="D52" i="59" s="1"/>
  <c r="D51" i="59"/>
  <c r="F32" i="21"/>
  <c r="AA32" i="21" s="1"/>
  <c r="H32" i="21"/>
  <c r="J32" i="21"/>
  <c r="AC32" i="21" s="1"/>
  <c r="E101" i="21"/>
  <c r="F101" i="21" s="1"/>
  <c r="G101" i="21" s="1"/>
  <c r="H101" i="21" s="1"/>
  <c r="I101" i="21" s="1"/>
  <c r="J101" i="21" s="1"/>
  <c r="K101" i="21" s="1"/>
  <c r="L101" i="21" s="1"/>
  <c r="M101" i="21" s="1"/>
  <c r="BL519" i="3"/>
  <c r="BA508" i="3"/>
  <c r="H9" i="35"/>
  <c r="AC22" i="36"/>
  <c r="BL438" i="3"/>
  <c r="F27" i="33"/>
  <c r="S27" i="33" s="1"/>
  <c r="W31" i="36"/>
  <c r="AC31" i="36"/>
  <c r="BA422" i="3"/>
  <c r="BA472" i="3"/>
  <c r="BA476" i="3"/>
  <c r="E106" i="21"/>
  <c r="F106" i="21" s="1"/>
  <c r="G106" i="21" s="1"/>
  <c r="H106" i="21" s="1"/>
  <c r="I106" i="21" s="1"/>
  <c r="J106" i="21" s="1"/>
  <c r="K106" i="21" s="1"/>
  <c r="L106" i="21" s="1"/>
  <c r="M106" i="21" s="1"/>
  <c r="BA56" i="3"/>
  <c r="H36" i="35"/>
  <c r="U36" i="35" s="1"/>
  <c r="BA454" i="3"/>
  <c r="BL458" i="3"/>
  <c r="BL399" i="3"/>
  <c r="BA405" i="3"/>
  <c r="BA445" i="3"/>
  <c r="BA335" i="3"/>
  <c r="BA350" i="3"/>
  <c r="AZ350" i="3" s="1"/>
  <c r="G365" i="3"/>
  <c r="BA393" i="3"/>
  <c r="AZ393" i="3" s="1"/>
  <c r="BL396" i="3"/>
  <c r="BA398" i="3"/>
  <c r="BL404" i="3"/>
  <c r="BL421" i="3"/>
  <c r="BA435" i="3"/>
  <c r="AZ435" i="3" s="1"/>
  <c r="BL455" i="3"/>
  <c r="BL456" i="3"/>
  <c r="BL302" i="3"/>
  <c r="BL334" i="3"/>
  <c r="F34" i="35"/>
  <c r="AA34" i="35" s="1"/>
  <c r="BL424" i="3"/>
  <c r="BL436" i="3"/>
  <c r="BL450" i="3"/>
  <c r="G452" i="3"/>
  <c r="BA315" i="3"/>
  <c r="BA319" i="3"/>
  <c r="BA349" i="3"/>
  <c r="BL360" i="3"/>
  <c r="BL388" i="3"/>
  <c r="BL205" i="3"/>
  <c r="BL206" i="3"/>
  <c r="BL407" i="3"/>
  <c r="AZ407" i="3" s="1"/>
  <c r="BL420" i="3"/>
  <c r="BL434" i="3"/>
  <c r="BL449" i="3"/>
  <c r="BA474" i="3"/>
  <c r="BL332" i="3"/>
  <c r="AZ332" i="3" s="1"/>
  <c r="G341" i="3"/>
  <c r="BL342" i="3"/>
  <c r="BA357" i="3"/>
  <c r="BL387" i="3"/>
  <c r="BA252" i="3"/>
  <c r="BL255" i="3"/>
  <c r="B13" i="1"/>
  <c r="E13" i="1" s="1"/>
  <c r="K13" i="1"/>
  <c r="M13" i="1" s="1"/>
  <c r="O13" i="1" s="1"/>
  <c r="P13" i="1" s="1"/>
  <c r="BA399" i="3"/>
  <c r="AZ399" i="3" s="1"/>
  <c r="BA408" i="3"/>
  <c r="BA417" i="3"/>
  <c r="BA451" i="3"/>
  <c r="BL461" i="3"/>
  <c r="BA297" i="3"/>
  <c r="BL319" i="3"/>
  <c r="BL326" i="3"/>
  <c r="BA353" i="3"/>
  <c r="AZ353" i="3" s="1"/>
  <c r="BL386" i="3"/>
  <c r="G387" i="3"/>
  <c r="BL251" i="3"/>
  <c r="AZ251" i="3"/>
  <c r="BA406" i="3"/>
  <c r="BA407" i="3"/>
  <c r="BL430" i="3"/>
  <c r="BA436" i="3"/>
  <c r="BA459" i="3"/>
  <c r="BA464" i="3"/>
  <c r="BL473" i="3"/>
  <c r="AZ473" i="3" s="1"/>
  <c r="BA477" i="3"/>
  <c r="BL318" i="3"/>
  <c r="BA321" i="3"/>
  <c r="BA351" i="3"/>
  <c r="BA212" i="3"/>
  <c r="G251" i="3"/>
  <c r="E16" i="59"/>
  <c r="E15" i="59" s="1"/>
  <c r="U17" i="59"/>
  <c r="BA228" i="3"/>
  <c r="BL243" i="3"/>
  <c r="BA24" i="3"/>
  <c r="BL368" i="3"/>
  <c r="AZ368" i="3" s="1"/>
  <c r="BL183" i="3"/>
  <c r="BA14" i="3"/>
  <c r="B65" i="46"/>
  <c r="B74" i="46"/>
  <c r="C31" i="39"/>
  <c r="B48" i="59"/>
  <c r="B49" i="59" s="1"/>
  <c r="S49" i="59" s="1"/>
  <c r="BA215" i="3"/>
  <c r="AZ215" i="3" s="1"/>
  <c r="BA216" i="3"/>
  <c r="BL221" i="3"/>
  <c r="BA266" i="3"/>
  <c r="AZ266" i="3" s="1"/>
  <c r="BA273" i="3"/>
  <c r="BA52" i="3"/>
  <c r="BA67" i="3"/>
  <c r="BA385" i="3"/>
  <c r="BA386" i="3"/>
  <c r="BA211" i="3"/>
  <c r="BA255" i="3"/>
  <c r="BL275" i="3"/>
  <c r="BA128" i="3"/>
  <c r="BL202" i="3"/>
  <c r="BA62" i="3"/>
  <c r="BA63" i="3"/>
  <c r="BA70" i="3"/>
  <c r="BA77" i="3"/>
  <c r="BA98" i="3"/>
  <c r="BL214" i="3"/>
  <c r="BL244" i="3"/>
  <c r="BL265" i="3"/>
  <c r="BL280" i="3"/>
  <c r="BL122" i="3"/>
  <c r="AZ122" i="3" s="1"/>
  <c r="BA133" i="3"/>
  <c r="BL141" i="3"/>
  <c r="BL148" i="3"/>
  <c r="G166" i="3"/>
  <c r="BA31" i="3"/>
  <c r="BA69" i="3"/>
  <c r="BA92" i="3"/>
  <c r="V17" i="59"/>
  <c r="F16" i="59"/>
  <c r="F15" i="59" s="1"/>
  <c r="G386" i="3"/>
  <c r="G212" i="3"/>
  <c r="BL212" i="3"/>
  <c r="AZ212" i="3" s="1"/>
  <c r="BL213" i="3"/>
  <c r="BL223" i="3"/>
  <c r="BL226" i="3"/>
  <c r="BA237" i="3"/>
  <c r="BA244" i="3"/>
  <c r="BL249" i="3"/>
  <c r="G256" i="3"/>
  <c r="BL263" i="3"/>
  <c r="G264" i="3"/>
  <c r="BA137" i="3"/>
  <c r="G165" i="3"/>
  <c r="BL198" i="3"/>
  <c r="BL199" i="3"/>
  <c r="BL66" i="3"/>
  <c r="BA80" i="3"/>
  <c r="BA263" i="3"/>
  <c r="BA280" i="3"/>
  <c r="BL296" i="3"/>
  <c r="BA154" i="3"/>
  <c r="AZ154" i="3"/>
  <c r="G29" i="3"/>
  <c r="BA35" i="3"/>
  <c r="BA51" i="3"/>
  <c r="G61" i="3"/>
  <c r="G209" i="3"/>
  <c r="BL241" i="3"/>
  <c r="BL262" i="3"/>
  <c r="BL272" i="3"/>
  <c r="BL288" i="3"/>
  <c r="BL294" i="3"/>
  <c r="BA296" i="3"/>
  <c r="BL124" i="3"/>
  <c r="BA125" i="3"/>
  <c r="BA26" i="3"/>
  <c r="BA42" i="3"/>
  <c r="BA43" i="3"/>
  <c r="BA44" i="3"/>
  <c r="BA50" i="3"/>
  <c r="BA54" i="3"/>
  <c r="BA85" i="3"/>
  <c r="BL385" i="3"/>
  <c r="G211" i="3"/>
  <c r="G228" i="3"/>
  <c r="BA234" i="3"/>
  <c r="BA236" i="3"/>
  <c r="BA250" i="3"/>
  <c r="BA257" i="3"/>
  <c r="BL278" i="3"/>
  <c r="G280" i="3"/>
  <c r="BA285" i="3"/>
  <c r="BA144" i="3"/>
  <c r="BA145" i="3"/>
  <c r="BL161" i="3"/>
  <c r="G162" i="3"/>
  <c r="BA191" i="3"/>
  <c r="BA199" i="3"/>
  <c r="BA202" i="3"/>
  <c r="BL203" i="3"/>
  <c r="BA33" i="3"/>
  <c r="G53" i="3"/>
  <c r="BA53" i="3"/>
  <c r="BA76" i="3"/>
  <c r="F32" i="59"/>
  <c r="F33" i="59" s="1"/>
  <c r="V33" i="59" s="1"/>
  <c r="AA5" i="59"/>
  <c r="BA219" i="3"/>
  <c r="AZ219" i="3" s="1"/>
  <c r="G227" i="3"/>
  <c r="BL246" i="3"/>
  <c r="BA249" i="3"/>
  <c r="BL287" i="3"/>
  <c r="BA143" i="3"/>
  <c r="G154" i="3"/>
  <c r="BA183" i="3"/>
  <c r="BA187" i="3"/>
  <c r="BL200" i="3"/>
  <c r="BL79" i="3"/>
  <c r="BA83" i="3"/>
  <c r="G94" i="3"/>
  <c r="BA100" i="3"/>
  <c r="BA101" i="3"/>
  <c r="F23" i="59"/>
  <c r="F24" i="59" s="1"/>
  <c r="F25" i="59" s="1"/>
  <c r="V25" i="59" s="1"/>
  <c r="F34" i="70"/>
  <c r="F61" i="70" s="1"/>
  <c r="F34" i="15"/>
  <c r="F61" i="15" s="1"/>
  <c r="BA149" i="3"/>
  <c r="BA41" i="3"/>
  <c r="BA57" i="3"/>
  <c r="BA58" i="3"/>
  <c r="BA84" i="3"/>
  <c r="AE10" i="46"/>
  <c r="AE12" i="46"/>
  <c r="BL150" i="3"/>
  <c r="G151" i="3"/>
  <c r="BA198" i="3"/>
  <c r="BA201" i="3"/>
  <c r="AZ201" i="3" s="1"/>
  <c r="BA36" i="3"/>
  <c r="BA94" i="3"/>
  <c r="BL100" i="3"/>
  <c r="G109" i="3"/>
  <c r="BA112" i="3"/>
  <c r="BA162" i="3"/>
  <c r="BA172" i="3"/>
  <c r="BA197" i="3"/>
  <c r="BA203" i="3"/>
  <c r="BA47" i="3"/>
  <c r="BA60" i="3"/>
  <c r="BL110" i="3"/>
  <c r="G170" i="3"/>
  <c r="G195" i="3"/>
  <c r="BL195" i="3"/>
  <c r="G202" i="3"/>
  <c r="BA37" i="3"/>
  <c r="I10" i="57"/>
  <c r="I21" i="57" s="1"/>
  <c r="D39" i="59"/>
  <c r="C60" i="59"/>
  <c r="D60" i="59" s="1"/>
  <c r="T61" i="59"/>
  <c r="T69" i="59"/>
  <c r="C68" i="59"/>
  <c r="D68" i="59" s="1"/>
  <c r="D69" i="59"/>
  <c r="AA21" i="37"/>
  <c r="F40" i="59"/>
  <c r="F41" i="59" s="1"/>
  <c r="V41" i="59" s="1"/>
  <c r="J42" i="21"/>
  <c r="W42" i="21" s="1"/>
  <c r="F42" i="21"/>
  <c r="AA42" i="21" s="1"/>
  <c r="P57" i="59"/>
  <c r="U57" i="59"/>
  <c r="AI12" i="46"/>
  <c r="AI10" i="46"/>
  <c r="T13" i="59"/>
  <c r="D13" i="59"/>
  <c r="AB26" i="59"/>
  <c r="C16" i="59"/>
  <c r="D23" i="70"/>
  <c r="S11" i="1"/>
  <c r="R11" i="1"/>
  <c r="J51" i="70"/>
  <c r="C9" i="40"/>
  <c r="C65" i="40" s="1"/>
  <c r="C67" i="40" s="1"/>
  <c r="C9" i="39"/>
  <c r="C70" i="39" s="1"/>
  <c r="C72" i="39" s="1"/>
  <c r="N67" i="9"/>
  <c r="F8" i="1"/>
  <c r="G8" i="1" s="1"/>
  <c r="F6" i="1"/>
  <c r="AP6" i="1" s="1"/>
  <c r="F7" i="1"/>
  <c r="AP7" i="1" s="1"/>
  <c r="C63" i="59"/>
  <c r="D63" i="59" s="1"/>
  <c r="U27" i="37"/>
  <c r="AB27" i="37"/>
  <c r="J25" i="39"/>
  <c r="AC25" i="39" s="1"/>
  <c r="M11" i="1"/>
  <c r="O11" i="1" s="1"/>
  <c r="P11" i="1" s="1"/>
  <c r="AA9" i="21"/>
  <c r="AB46" i="34"/>
  <c r="U46" i="34"/>
  <c r="AA28" i="33"/>
  <c r="AZ255" i="3"/>
  <c r="U44" i="33"/>
  <c r="U9" i="33"/>
  <c r="AA44" i="33"/>
  <c r="U29" i="39"/>
  <c r="U27" i="33"/>
  <c r="AB32" i="21"/>
  <c r="U32" i="21"/>
  <c r="AC40" i="37"/>
  <c r="W40" i="37"/>
  <c r="AC46" i="34"/>
  <c r="W46" i="34"/>
  <c r="AW15" i="3"/>
  <c r="L20" i="6"/>
  <c r="S12" i="1"/>
  <c r="R12" i="1"/>
  <c r="M17" i="71"/>
  <c r="F31" i="71"/>
  <c r="F58" i="71"/>
  <c r="F8" i="67"/>
  <c r="E14" i="67"/>
  <c r="B8" i="67"/>
  <c r="B14" i="67"/>
  <c r="B11" i="67"/>
  <c r="E12" i="67"/>
  <c r="E10" i="67"/>
  <c r="F13" i="67"/>
  <c r="F14" i="67"/>
  <c r="F11" i="67"/>
  <c r="B13" i="67"/>
  <c r="F9" i="67"/>
  <c r="M26" i="70"/>
  <c r="B10" i="67"/>
  <c r="B9" i="67"/>
  <c r="E8" i="67"/>
  <c r="E11" i="67"/>
  <c r="F16" i="70"/>
  <c r="E9" i="67"/>
  <c r="F37" i="70"/>
  <c r="F12" i="67"/>
  <c r="F13" i="70"/>
  <c r="B12" i="67"/>
  <c r="F10" i="67"/>
  <c r="E13" i="67"/>
  <c r="AZ552" i="3" l="1"/>
  <c r="AZ508" i="3"/>
  <c r="S8" i="33"/>
  <c r="AA8" i="33"/>
  <c r="P62" i="15"/>
  <c r="P75" i="15"/>
  <c r="S8" i="37"/>
  <c r="AA8" i="37"/>
  <c r="BA528" i="3"/>
  <c r="AZ528" i="3" s="1"/>
  <c r="AC11" i="36"/>
  <c r="AA14" i="59"/>
  <c r="Y16" i="59"/>
  <c r="Z16" i="59" s="1"/>
  <c r="AA7" i="59"/>
  <c r="AZ153" i="3"/>
  <c r="AZ471" i="3"/>
  <c r="F9" i="34"/>
  <c r="J9" i="34"/>
  <c r="S42" i="34"/>
  <c r="AA42" i="34"/>
  <c r="AA31" i="35"/>
  <c r="S31" i="35"/>
  <c r="BA569" i="3"/>
  <c r="AZ569" i="3" s="1"/>
  <c r="BA561" i="3"/>
  <c r="BA540" i="3"/>
  <c r="BA538" i="3"/>
  <c r="BL535" i="3"/>
  <c r="BL526" i="3"/>
  <c r="AZ526" i="3" s="1"/>
  <c r="C53" i="59"/>
  <c r="D53" i="59" s="1"/>
  <c r="D16" i="59"/>
  <c r="C15" i="59"/>
  <c r="D15" i="59" s="1"/>
  <c r="AZ183" i="3"/>
  <c r="AB7" i="59"/>
  <c r="U9" i="35"/>
  <c r="AB9" i="35"/>
  <c r="F11" i="36"/>
  <c r="AA11" i="36" s="1"/>
  <c r="AB14" i="35"/>
  <c r="AA28" i="36"/>
  <c r="AA23" i="59"/>
  <c r="AA24" i="59"/>
  <c r="AZ274" i="3"/>
  <c r="F11" i="59"/>
  <c r="F10" i="59" s="1"/>
  <c r="F9" i="59" s="1"/>
  <c r="AA6" i="59"/>
  <c r="AB6" i="59"/>
  <c r="AA18" i="59"/>
  <c r="Y6" i="59"/>
  <c r="Z6" i="59" s="1"/>
  <c r="W34" i="33"/>
  <c r="AC46" i="39"/>
  <c r="W46" i="39"/>
  <c r="H14" i="21"/>
  <c r="F14" i="21"/>
  <c r="AA14" i="21" s="1"/>
  <c r="AA29" i="40"/>
  <c r="S29" i="40"/>
  <c r="C27" i="59"/>
  <c r="D27" i="59" s="1"/>
  <c r="Y26" i="59"/>
  <c r="Z26" i="59" s="1"/>
  <c r="Y23" i="59"/>
  <c r="Z23" i="59" s="1"/>
  <c r="Y24" i="59"/>
  <c r="Z24" i="59" s="1"/>
  <c r="AC46" i="21"/>
  <c r="W46" i="21"/>
  <c r="AC13" i="34"/>
  <c r="U26" i="33"/>
  <c r="AB12" i="59"/>
  <c r="AB43" i="21"/>
  <c r="X18" i="59"/>
  <c r="Y22" i="59"/>
  <c r="Z22" i="59" s="1"/>
  <c r="AB15" i="34"/>
  <c r="U15" i="34"/>
  <c r="AA16" i="39"/>
  <c r="S16" i="39"/>
  <c r="U41" i="39"/>
  <c r="AB41" i="39"/>
  <c r="W25" i="37"/>
  <c r="AC25" i="37"/>
  <c r="B19" i="59"/>
  <c r="X12" i="59"/>
  <c r="X15" i="59"/>
  <c r="X16" i="59"/>
  <c r="Y14" i="59"/>
  <c r="Z14" i="59" s="1"/>
  <c r="Y15" i="59"/>
  <c r="Z15" i="59" s="1"/>
  <c r="Y11" i="59"/>
  <c r="Z11" i="59" s="1"/>
  <c r="Y12" i="59"/>
  <c r="Z12" i="59" s="1"/>
  <c r="AA22" i="59"/>
  <c r="AA19" i="59"/>
  <c r="AB17" i="59"/>
  <c r="AB13" i="59"/>
  <c r="AB15" i="59"/>
  <c r="AB16" i="59"/>
  <c r="AA40" i="33"/>
  <c r="S40" i="33"/>
  <c r="BA547" i="3"/>
  <c r="BA496" i="3"/>
  <c r="F31" i="33"/>
  <c r="J31" i="33"/>
  <c r="W31" i="33" s="1"/>
  <c r="H31" i="33"/>
  <c r="U31" i="33" s="1"/>
  <c r="J30" i="34"/>
  <c r="H30" i="34"/>
  <c r="F13" i="35"/>
  <c r="J13" i="35"/>
  <c r="H13" i="35"/>
  <c r="AC22" i="35"/>
  <c r="W22" i="35"/>
  <c r="H13" i="36"/>
  <c r="F13" i="36"/>
  <c r="F23" i="36"/>
  <c r="S23" i="36" s="1"/>
  <c r="J23" i="36"/>
  <c r="X19" i="59"/>
  <c r="X21" i="59"/>
  <c r="X24" i="59"/>
  <c r="E19" i="59"/>
  <c r="AA12" i="59"/>
  <c r="AB5" i="59"/>
  <c r="AB8" i="59"/>
  <c r="U25" i="37"/>
  <c r="AB25" i="37"/>
  <c r="X13" i="59"/>
  <c r="X20" i="59"/>
  <c r="AA20" i="59"/>
  <c r="AA25" i="33"/>
  <c r="S25" i="33"/>
  <c r="AB29" i="36"/>
  <c r="U29" i="36"/>
  <c r="AB18" i="59"/>
  <c r="AZ335" i="3"/>
  <c r="Y5" i="59"/>
  <c r="Z5" i="59" s="1"/>
  <c r="AB22" i="59"/>
  <c r="U30" i="40"/>
  <c r="W33" i="33"/>
  <c r="J41" i="40"/>
  <c r="AZ359" i="3"/>
  <c r="AC19" i="34"/>
  <c r="W19" i="34"/>
  <c r="S10" i="34"/>
  <c r="AA10" i="34"/>
  <c r="F9" i="35"/>
  <c r="J9" i="35"/>
  <c r="AC9" i="35" s="1"/>
  <c r="AC31" i="34"/>
  <c r="W31" i="34"/>
  <c r="W36" i="37"/>
  <c r="AC36" i="37"/>
  <c r="O76" i="9"/>
  <c r="K76" i="9"/>
  <c r="K77" i="9" s="1"/>
  <c r="K79" i="9" s="1"/>
  <c r="K81" i="9" s="1"/>
  <c r="L76" i="9"/>
  <c r="X22" i="59"/>
  <c r="J34" i="36"/>
  <c r="H34" i="36"/>
  <c r="C79" i="35"/>
  <c r="J26" i="35" s="1"/>
  <c r="AZ532" i="3"/>
  <c r="W32" i="21"/>
  <c r="S27" i="37"/>
  <c r="AA26" i="33"/>
  <c r="S26" i="33"/>
  <c r="W37" i="37"/>
  <c r="Y21" i="59"/>
  <c r="Z21" i="59" s="1"/>
  <c r="X23" i="59"/>
  <c r="B27" i="59"/>
  <c r="B28" i="59" s="1"/>
  <c r="B29" i="59" s="1"/>
  <c r="S29" i="59" s="1"/>
  <c r="E10" i="59"/>
  <c r="E9" i="59" s="1"/>
  <c r="AZ165" i="3"/>
  <c r="AZ401" i="3"/>
  <c r="AA13" i="59"/>
  <c r="S19" i="37"/>
  <c r="C19" i="40"/>
  <c r="S17" i="40"/>
  <c r="AA17" i="40"/>
  <c r="AB14" i="33"/>
  <c r="AZ386" i="3"/>
  <c r="AB30" i="33"/>
  <c r="AC47" i="39"/>
  <c r="W47" i="39"/>
  <c r="X26" i="59"/>
  <c r="AA16" i="59"/>
  <c r="X14" i="59"/>
  <c r="X17" i="59"/>
  <c r="AB9" i="59"/>
  <c r="AB14" i="36"/>
  <c r="C17" i="40"/>
  <c r="H50" i="46"/>
  <c r="H47" i="46"/>
  <c r="AB11" i="34"/>
  <c r="U11" i="34"/>
  <c r="AB11" i="37"/>
  <c r="AC29" i="40"/>
  <c r="S33" i="21"/>
  <c r="H26" i="35"/>
  <c r="F34" i="40"/>
  <c r="AA34" i="40" s="1"/>
  <c r="AC36" i="33"/>
  <c r="A25" i="64"/>
  <c r="A25" i="51"/>
  <c r="B18" i="63" s="1"/>
  <c r="AA15" i="59"/>
  <c r="Y17" i="59"/>
  <c r="Z17" i="59" s="1"/>
  <c r="AA17" i="59"/>
  <c r="AZ178" i="3"/>
  <c r="AZ367" i="3"/>
  <c r="H9" i="34"/>
  <c r="AB9" i="34" s="1"/>
  <c r="AB10" i="59"/>
  <c r="W13" i="40"/>
  <c r="AC13" i="40"/>
  <c r="S42" i="33"/>
  <c r="AA42" i="33"/>
  <c r="X9" i="59"/>
  <c r="X3" i="59"/>
  <c r="X8" i="59"/>
  <c r="X7" i="59"/>
  <c r="X5" i="59"/>
  <c r="Y10" i="59"/>
  <c r="Z10" i="59" s="1"/>
  <c r="Y9" i="59"/>
  <c r="Z9" i="59" s="1"/>
  <c r="Y7" i="59"/>
  <c r="Z7" i="59" s="1"/>
  <c r="Y8" i="59"/>
  <c r="Z8" i="59" s="1"/>
  <c r="AA3" i="59"/>
  <c r="AA10" i="59"/>
  <c r="AA9" i="59"/>
  <c r="AB27" i="59"/>
  <c r="AB20" i="59"/>
  <c r="AB23" i="59"/>
  <c r="AB21" i="59"/>
  <c r="AB25" i="59"/>
  <c r="Y18" i="59"/>
  <c r="Z18" i="59" s="1"/>
  <c r="Y19" i="59"/>
  <c r="Z19" i="59" s="1"/>
  <c r="AA15" i="33"/>
  <c r="S15" i="33"/>
  <c r="AZ525" i="3"/>
  <c r="AA9" i="33"/>
  <c r="S9" i="33"/>
  <c r="F26" i="35"/>
  <c r="U31" i="37"/>
  <c r="AB11" i="59"/>
  <c r="AB25" i="21"/>
  <c r="S25" i="34"/>
  <c r="AA25" i="34"/>
  <c r="AC40" i="33"/>
  <c r="W40" i="33"/>
  <c r="BL560" i="3"/>
  <c r="BA559" i="3"/>
  <c r="BL547" i="3"/>
  <c r="AZ547" i="3" s="1"/>
  <c r="BA536" i="3"/>
  <c r="BA527" i="3"/>
  <c r="BL501" i="3"/>
  <c r="AZ501" i="3" s="1"/>
  <c r="BA497" i="3"/>
  <c r="AZ216" i="3"/>
  <c r="AZ459" i="3"/>
  <c r="AZ185" i="3"/>
  <c r="AZ220" i="3"/>
  <c r="AZ157" i="3"/>
  <c r="AZ230" i="3"/>
  <c r="AZ135" i="3"/>
  <c r="AZ364" i="3"/>
  <c r="AZ209" i="3"/>
  <c r="AA13" i="21"/>
  <c r="AZ184" i="3"/>
  <c r="AZ151" i="3"/>
  <c r="AZ382" i="3"/>
  <c r="A3" i="55"/>
  <c r="B56" i="63" s="1"/>
  <c r="F30" i="33"/>
  <c r="J30" i="33"/>
  <c r="AC30" i="33" s="1"/>
  <c r="BL502" i="3"/>
  <c r="BL569" i="3"/>
  <c r="BA567" i="3"/>
  <c r="BA565" i="3"/>
  <c r="G554" i="3"/>
  <c r="AZ49" i="3"/>
  <c r="AZ57" i="3"/>
  <c r="AZ162" i="3"/>
  <c r="AZ149" i="3"/>
  <c r="AZ257" i="3"/>
  <c r="AZ319" i="3"/>
  <c r="H63" i="46"/>
  <c r="AZ196" i="3"/>
  <c r="AZ270" i="3"/>
  <c r="S14" i="36"/>
  <c r="AZ189" i="3"/>
  <c r="AZ366" i="3"/>
  <c r="U35" i="33"/>
  <c r="S8" i="36"/>
  <c r="AZ323" i="3"/>
  <c r="BL496" i="3"/>
  <c r="BL512" i="3"/>
  <c r="AZ250" i="3"/>
  <c r="AZ294" i="3"/>
  <c r="AZ128" i="3"/>
  <c r="AZ273" i="3"/>
  <c r="AZ136" i="3"/>
  <c r="AZ346" i="3"/>
  <c r="AZ233" i="3"/>
  <c r="AZ173" i="3"/>
  <c r="AZ142" i="3"/>
  <c r="U27" i="36"/>
  <c r="W39" i="34"/>
  <c r="G567" i="3"/>
  <c r="AZ358" i="3"/>
  <c r="G553" i="3"/>
  <c r="G546" i="3"/>
  <c r="G532" i="3"/>
  <c r="G480" i="3"/>
  <c r="G296" i="3"/>
  <c r="BL113" i="3"/>
  <c r="BL114" i="3"/>
  <c r="BL115" i="3"/>
  <c r="AZ115" i="3" s="1"/>
  <c r="BL119" i="3"/>
  <c r="AZ119" i="3" s="1"/>
  <c r="G146" i="3"/>
  <c r="G203" i="3"/>
  <c r="BL21" i="3"/>
  <c r="BL22" i="3"/>
  <c r="BL23" i="3"/>
  <c r="BL26" i="3"/>
  <c r="BL27" i="3"/>
  <c r="AZ27" i="3" s="1"/>
  <c r="BL28" i="3"/>
  <c r="BL29" i="3"/>
  <c r="BL30" i="3"/>
  <c r="AZ30" i="3" s="1"/>
  <c r="BL34" i="3"/>
  <c r="BL35" i="3"/>
  <c r="AZ35" i="3" s="1"/>
  <c r="BL36" i="3"/>
  <c r="BL37" i="3"/>
  <c r="BL39" i="3"/>
  <c r="AZ39" i="3" s="1"/>
  <c r="BL40" i="3"/>
  <c r="BL42" i="3"/>
  <c r="AZ42" i="3" s="1"/>
  <c r="BL43" i="3"/>
  <c r="BL45" i="3"/>
  <c r="BL46" i="3"/>
  <c r="BL47" i="3"/>
  <c r="BL50" i="3"/>
  <c r="AZ50" i="3" s="1"/>
  <c r="BL51" i="3"/>
  <c r="AZ51" i="3" s="1"/>
  <c r="BL52" i="3"/>
  <c r="BL54" i="3"/>
  <c r="BL56" i="3"/>
  <c r="BL58" i="3"/>
  <c r="BL59" i="3"/>
  <c r="BL60" i="3"/>
  <c r="BL63" i="3"/>
  <c r="BL68" i="3"/>
  <c r="AZ68" i="3" s="1"/>
  <c r="BL75" i="3"/>
  <c r="BL76" i="3"/>
  <c r="BL78" i="3"/>
  <c r="BL80" i="3"/>
  <c r="BL82" i="3"/>
  <c r="BL83" i="3"/>
  <c r="BL84" i="3"/>
  <c r="BL85" i="3"/>
  <c r="AZ85" i="3" s="1"/>
  <c r="BL86" i="3"/>
  <c r="BA89" i="3"/>
  <c r="BL90" i="3"/>
  <c r="BL92" i="3"/>
  <c r="BL93" i="3"/>
  <c r="BL98" i="3"/>
  <c r="BL99" i="3"/>
  <c r="BL101" i="3"/>
  <c r="AZ101" i="3" s="1"/>
  <c r="BL102" i="3"/>
  <c r="AZ102" i="3" s="1"/>
  <c r="BL106" i="3"/>
  <c r="BL107" i="3"/>
  <c r="BL108" i="3"/>
  <c r="BL109" i="3"/>
  <c r="BL18" i="3"/>
  <c r="BL14" i="3"/>
  <c r="BA15" i="3"/>
  <c r="BA13" i="3"/>
  <c r="BL557" i="3"/>
  <c r="G517" i="3"/>
  <c r="BL507" i="3"/>
  <c r="AZ507" i="3" s="1"/>
  <c r="G505" i="3"/>
  <c r="BL503" i="3"/>
  <c r="AZ503" i="3" s="1"/>
  <c r="BL497" i="3"/>
  <c r="G496" i="3"/>
  <c r="BL493" i="3"/>
  <c r="G491" i="3"/>
  <c r="BA484" i="3"/>
  <c r="G484" i="3"/>
  <c r="G16" i="3"/>
  <c r="G438" i="3"/>
  <c r="G446" i="3"/>
  <c r="G270" i="3"/>
  <c r="G294" i="3"/>
  <c r="BA114" i="3"/>
  <c r="BL117" i="3"/>
  <c r="BL131" i="3"/>
  <c r="AZ131" i="3" s="1"/>
  <c r="G135" i="3"/>
  <c r="BL135" i="3"/>
  <c r="BA142" i="3"/>
  <c r="BA146" i="3"/>
  <c r="AZ146" i="3" s="1"/>
  <c r="BA153" i="3"/>
  <c r="BA157" i="3"/>
  <c r="G169" i="3"/>
  <c r="BL174" i="3"/>
  <c r="G193" i="3"/>
  <c r="BL24" i="3"/>
  <c r="G26" i="3"/>
  <c r="BL32" i="3"/>
  <c r="AZ32" i="3" s="1"/>
  <c r="G41" i="3"/>
  <c r="BL48" i="3"/>
  <c r="G50" i="3"/>
  <c r="BL64" i="3"/>
  <c r="AZ64" i="3" s="1"/>
  <c r="G65" i="3"/>
  <c r="G66" i="3"/>
  <c r="BL72" i="3"/>
  <c r="G74" i="3"/>
  <c r="G82" i="3"/>
  <c r="G90" i="3"/>
  <c r="BL96" i="3"/>
  <c r="BL104" i="3"/>
  <c r="AZ104" i="3" s="1"/>
  <c r="BL112" i="3"/>
  <c r="BL448" i="3"/>
  <c r="AZ448" i="3" s="1"/>
  <c r="BA450" i="3"/>
  <c r="AZ450" i="3" s="1"/>
  <c r="BL465" i="3"/>
  <c r="AZ465" i="3" s="1"/>
  <c r="BA466" i="3"/>
  <c r="BA469" i="3"/>
  <c r="BA475" i="3"/>
  <c r="BL478" i="3"/>
  <c r="BL297" i="3"/>
  <c r="AZ297" i="3" s="1"/>
  <c r="BA298" i="3"/>
  <c r="BA302" i="3"/>
  <c r="AZ302" i="3" s="1"/>
  <c r="BL303" i="3"/>
  <c r="AZ303" i="3" s="1"/>
  <c r="BA305" i="3"/>
  <c r="BL305" i="3"/>
  <c r="BA307" i="3"/>
  <c r="BL309" i="3"/>
  <c r="BL313" i="3"/>
  <c r="AZ313" i="3" s="1"/>
  <c r="BA314" i="3"/>
  <c r="BL315" i="3"/>
  <c r="BL317" i="3"/>
  <c r="BL321" i="3"/>
  <c r="AZ321" i="3" s="1"/>
  <c r="BA322" i="3"/>
  <c r="BA323" i="3"/>
  <c r="BA324" i="3"/>
  <c r="BL325" i="3"/>
  <c r="BA326" i="3"/>
  <c r="AZ326" i="3" s="1"/>
  <c r="BL327" i="3"/>
  <c r="BA330" i="3"/>
  <c r="AZ330" i="3" s="1"/>
  <c r="BL331" i="3"/>
  <c r="AZ331" i="3" s="1"/>
  <c r="BL333" i="3"/>
  <c r="BL335" i="3"/>
  <c r="BA336" i="3"/>
  <c r="BL337" i="3"/>
  <c r="BA338" i="3"/>
  <c r="BL339" i="3"/>
  <c r="AZ339" i="3" s="1"/>
  <c r="BL341" i="3"/>
  <c r="BA342" i="3"/>
  <c r="AZ342" i="3" s="1"/>
  <c r="BA343" i="3"/>
  <c r="AZ343" i="3" s="1"/>
  <c r="BA344" i="3"/>
  <c r="AZ344" i="3" s="1"/>
  <c r="BL344" i="3"/>
  <c r="BA345" i="3"/>
  <c r="BL347" i="3"/>
  <c r="BA348" i="3"/>
  <c r="BL348" i="3"/>
  <c r="AZ348" i="3" s="1"/>
  <c r="BL351" i="3"/>
  <c r="AZ351" i="3" s="1"/>
  <c r="BA354" i="3"/>
  <c r="AZ354" i="3" s="1"/>
  <c r="BA355" i="3"/>
  <c r="AZ355" i="3" s="1"/>
  <c r="BL356" i="3"/>
  <c r="AZ356" i="3" s="1"/>
  <c r="BL357" i="3"/>
  <c r="AZ357" i="3" s="1"/>
  <c r="BA358" i="3"/>
  <c r="BA359" i="3"/>
  <c r="BA360" i="3"/>
  <c r="AZ360" i="3" s="1"/>
  <c r="BL361" i="3"/>
  <c r="BA362" i="3"/>
  <c r="BL362" i="3"/>
  <c r="BL363" i="3"/>
  <c r="BA364" i="3"/>
  <c r="BL367" i="3"/>
  <c r="BL370" i="3"/>
  <c r="BL371" i="3"/>
  <c r="AZ371" i="3" s="1"/>
  <c r="BA372" i="3"/>
  <c r="BL372" i="3"/>
  <c r="BL373" i="3"/>
  <c r="BA374" i="3"/>
  <c r="BL374" i="3"/>
  <c r="BL375" i="3"/>
  <c r="BL376" i="3"/>
  <c r="BA377" i="3"/>
  <c r="AZ377" i="3" s="1"/>
  <c r="BL377" i="3"/>
  <c r="BL379" i="3"/>
  <c r="AZ379" i="3" s="1"/>
  <c r="BA380" i="3"/>
  <c r="BL380" i="3"/>
  <c r="BL381" i="3"/>
  <c r="BA382" i="3"/>
  <c r="BA384" i="3"/>
  <c r="BL116" i="3"/>
  <c r="AZ116" i="3" s="1"/>
  <c r="BL55" i="3"/>
  <c r="BL71" i="3"/>
  <c r="AZ71" i="3" s="1"/>
  <c r="BL103" i="3"/>
  <c r="BL111" i="3"/>
  <c r="BL17" i="3"/>
  <c r="BL15" i="3"/>
  <c r="BA18" i="3"/>
  <c r="G507" i="3"/>
  <c r="G502" i="3"/>
  <c r="BA395" i="3"/>
  <c r="AZ395" i="3" s="1"/>
  <c r="BL395" i="3"/>
  <c r="BL398" i="3"/>
  <c r="AZ398" i="3" s="1"/>
  <c r="BL408" i="3"/>
  <c r="BA413" i="3"/>
  <c r="BL415" i="3"/>
  <c r="BA419" i="3"/>
  <c r="BL432" i="3"/>
  <c r="AZ432" i="3" s="1"/>
  <c r="G47" i="3"/>
  <c r="G63" i="3"/>
  <c r="G87" i="3"/>
  <c r="G95" i="3"/>
  <c r="BA16" i="3"/>
  <c r="BA17" i="3"/>
  <c r="E44" i="59"/>
  <c r="E45" i="59" s="1"/>
  <c r="U45" i="59" s="1"/>
  <c r="B52" i="59"/>
  <c r="B53" i="59" s="1"/>
  <c r="S53" i="59" s="1"/>
  <c r="F44" i="59"/>
  <c r="F45" i="59" s="1"/>
  <c r="V45" i="59" s="1"/>
  <c r="E5" i="6"/>
  <c r="G497" i="3"/>
  <c r="G393" i="3"/>
  <c r="G282" i="3"/>
  <c r="G137" i="3"/>
  <c r="G173" i="3"/>
  <c r="E21" i="6"/>
  <c r="G88" i="3"/>
  <c r="BL89" i="3"/>
  <c r="BA88" i="3"/>
  <c r="BL88" i="3"/>
  <c r="BA87" i="3"/>
  <c r="BL87" i="3"/>
  <c r="AZ58" i="3"/>
  <c r="AZ60" i="3"/>
  <c r="AZ112" i="3"/>
  <c r="G20" i="3"/>
  <c r="AZ41" i="3"/>
  <c r="BO5" i="3"/>
  <c r="BN5" i="3"/>
  <c r="AZ22" i="3"/>
  <c r="AZ23" i="3"/>
  <c r="AZ14" i="3"/>
  <c r="AZ55" i="3"/>
  <c r="I4" i="6"/>
  <c r="G28" i="3"/>
  <c r="G92" i="3"/>
  <c r="AZ18" i="3"/>
  <c r="S12" i="34"/>
  <c r="AA12" i="34"/>
  <c r="S25" i="35"/>
  <c r="AA25" i="35"/>
  <c r="S24" i="36"/>
  <c r="AA24" i="36"/>
  <c r="AA15" i="40"/>
  <c r="S15" i="40"/>
  <c r="AZ229" i="3"/>
  <c r="W23" i="34"/>
  <c r="W9" i="33"/>
  <c r="S34" i="40"/>
  <c r="AZ236" i="3"/>
  <c r="AZ474" i="3"/>
  <c r="AA41" i="33"/>
  <c r="H24" i="36"/>
  <c r="H12" i="34"/>
  <c r="J27" i="21"/>
  <c r="AC27" i="21" s="1"/>
  <c r="F37" i="39"/>
  <c r="AA37" i="39" s="1"/>
  <c r="AB34" i="33"/>
  <c r="F45" i="34"/>
  <c r="W39" i="37"/>
  <c r="AC39" i="37"/>
  <c r="F32" i="15"/>
  <c r="F59" i="15" s="1"/>
  <c r="J24" i="36"/>
  <c r="AC24" i="36" s="1"/>
  <c r="H25" i="35"/>
  <c r="J12" i="34"/>
  <c r="AZ155" i="3"/>
  <c r="AZ158" i="3"/>
  <c r="H27" i="21"/>
  <c r="W35" i="35"/>
  <c r="AC23" i="40"/>
  <c r="AB33" i="36"/>
  <c r="AA27" i="33"/>
  <c r="AB37" i="21"/>
  <c r="AC38" i="37"/>
  <c r="S25" i="39"/>
  <c r="AZ53" i="3"/>
  <c r="AZ438" i="3"/>
  <c r="H39" i="37"/>
  <c r="AB39" i="37" s="1"/>
  <c r="F28" i="70"/>
  <c r="F30" i="44"/>
  <c r="J25" i="35"/>
  <c r="W25" i="35" s="1"/>
  <c r="H34" i="40"/>
  <c r="W32" i="33"/>
  <c r="AZ160" i="3"/>
  <c r="AA20" i="36"/>
  <c r="S20" i="36"/>
  <c r="F45" i="21"/>
  <c r="J45" i="21"/>
  <c r="J12" i="36"/>
  <c r="H12" i="36"/>
  <c r="BL568" i="3"/>
  <c r="AA36" i="39"/>
  <c r="S36" i="39"/>
  <c r="U20" i="36"/>
  <c r="AB20" i="36"/>
  <c r="H11" i="21"/>
  <c r="F11" i="21"/>
  <c r="U11" i="36"/>
  <c r="H13" i="37"/>
  <c r="F13" i="37"/>
  <c r="AB27" i="35"/>
  <c r="AA36" i="37"/>
  <c r="S32" i="35"/>
  <c r="AZ197" i="3"/>
  <c r="AZ84" i="3"/>
  <c r="AZ54" i="3"/>
  <c r="AZ137" i="3"/>
  <c r="AZ226" i="3"/>
  <c r="W29" i="35"/>
  <c r="AB23" i="34"/>
  <c r="D86" i="9"/>
  <c r="S41" i="21"/>
  <c r="AC45" i="33"/>
  <c r="AZ118" i="3"/>
  <c r="AZ24" i="3"/>
  <c r="AZ143" i="3"/>
  <c r="AZ243" i="3"/>
  <c r="AZ451" i="3"/>
  <c r="F39" i="37"/>
  <c r="AA39" i="37" s="1"/>
  <c r="M18" i="15"/>
  <c r="F31" i="43"/>
  <c r="AZ498" i="3"/>
  <c r="AZ383" i="3"/>
  <c r="AZ306" i="3"/>
  <c r="AZ147" i="3"/>
  <c r="AZ551" i="3"/>
  <c r="AZ299" i="3"/>
  <c r="AZ253" i="3"/>
  <c r="AA37" i="40"/>
  <c r="AZ352" i="3"/>
  <c r="U41" i="34"/>
  <c r="AB41" i="34"/>
  <c r="F12" i="36"/>
  <c r="U30" i="37"/>
  <c r="J11" i="35"/>
  <c r="F11" i="35"/>
  <c r="BA548" i="3"/>
  <c r="C75" i="59"/>
  <c r="D75" i="59" s="1"/>
  <c r="AZ36" i="3"/>
  <c r="AZ535" i="3"/>
  <c r="H13" i="33"/>
  <c r="AZ524" i="3"/>
  <c r="M20" i="44"/>
  <c r="J31" i="21"/>
  <c r="AZ519" i="3"/>
  <c r="AZ365" i="3"/>
  <c r="AB28" i="35"/>
  <c r="AZ177" i="3"/>
  <c r="AZ256" i="3"/>
  <c r="AZ308" i="3"/>
  <c r="AZ452" i="3"/>
  <c r="W30" i="21"/>
  <c r="AC30" i="35"/>
  <c r="W33" i="37"/>
  <c r="AC25" i="40"/>
  <c r="W25" i="40"/>
  <c r="AZ310" i="3"/>
  <c r="AZ363" i="3"/>
  <c r="AZ376" i="3"/>
  <c r="U37" i="37"/>
  <c r="AB37" i="37"/>
  <c r="AZ413" i="3"/>
  <c r="S46" i="39"/>
  <c r="AA46" i="39"/>
  <c r="W44" i="33"/>
  <c r="P55" i="59"/>
  <c r="AZ262" i="3"/>
  <c r="AZ198" i="3"/>
  <c r="AA32" i="37"/>
  <c r="H51" i="46"/>
  <c r="F27" i="43"/>
  <c r="O41" i="9"/>
  <c r="R8" i="54" s="1"/>
  <c r="B54" i="63" s="1"/>
  <c r="AZ21" i="3"/>
  <c r="AZ65" i="3"/>
  <c r="AZ428" i="3"/>
  <c r="AZ169" i="3"/>
  <c r="AZ311" i="3"/>
  <c r="H49" i="46"/>
  <c r="AC16" i="36"/>
  <c r="W35" i="34"/>
  <c r="AC35" i="34"/>
  <c r="W32" i="37"/>
  <c r="AC32" i="37"/>
  <c r="AA19" i="34"/>
  <c r="S19" i="34"/>
  <c r="AC8" i="35"/>
  <c r="AC34" i="34"/>
  <c r="W34" i="34"/>
  <c r="AB31" i="36"/>
  <c r="U31" i="36"/>
  <c r="H47" i="39"/>
  <c r="F47" i="39"/>
  <c r="S47" i="39" s="1"/>
  <c r="AB37" i="34"/>
  <c r="U8" i="36"/>
  <c r="AB8" i="36"/>
  <c r="S33" i="33"/>
  <c r="AA33" i="33"/>
  <c r="F28" i="15"/>
  <c r="AB33" i="35"/>
  <c r="U33" i="35"/>
  <c r="S40" i="37"/>
  <c r="AZ37" i="3"/>
  <c r="D12" i="59"/>
  <c r="H73" i="46"/>
  <c r="H75" i="46"/>
  <c r="S37" i="34"/>
  <c r="AA37" i="34"/>
  <c r="AA16" i="36"/>
  <c r="S16" i="36"/>
  <c r="U33" i="34"/>
  <c r="AB33" i="34"/>
  <c r="AA30" i="33"/>
  <c r="S30" i="33"/>
  <c r="H29" i="34"/>
  <c r="J29" i="34"/>
  <c r="BL494" i="3"/>
  <c r="AZ494" i="3" s="1"/>
  <c r="BL77" i="3"/>
  <c r="AZ77" i="3" s="1"/>
  <c r="F48" i="59"/>
  <c r="F49" i="59" s="1"/>
  <c r="V49" i="59" s="1"/>
  <c r="E52" i="59"/>
  <c r="E53" i="59" s="1"/>
  <c r="U53" i="59" s="1"/>
  <c r="G523" i="3"/>
  <c r="AZ140" i="3"/>
  <c r="J29" i="33"/>
  <c r="H34" i="35"/>
  <c r="G511" i="3"/>
  <c r="G448" i="3"/>
  <c r="G472" i="3"/>
  <c r="F20" i="59"/>
  <c r="F21" i="59" s="1"/>
  <c r="V21" i="59" s="1"/>
  <c r="G522" i="3"/>
  <c r="BA402" i="3"/>
  <c r="AZ402" i="3" s="1"/>
  <c r="G406" i="3"/>
  <c r="G413" i="3"/>
  <c r="G437" i="3"/>
  <c r="G445" i="3"/>
  <c r="G478" i="3"/>
  <c r="G254" i="3"/>
  <c r="G262" i="3"/>
  <c r="G272" i="3"/>
  <c r="G287" i="3"/>
  <c r="G119" i="3"/>
  <c r="G127" i="3"/>
  <c r="G91" i="3"/>
  <c r="G542" i="3"/>
  <c r="BL31" i="3"/>
  <c r="AZ31" i="3" s="1"/>
  <c r="G459" i="3"/>
  <c r="G475" i="3"/>
  <c r="G259" i="3"/>
  <c r="G39" i="3"/>
  <c r="AZ210" i="3"/>
  <c r="AZ108" i="3"/>
  <c r="AZ186" i="3"/>
  <c r="AZ174" i="3"/>
  <c r="AZ17" i="3"/>
  <c r="AZ139" i="3"/>
  <c r="AZ290" i="3"/>
  <c r="W19" i="37"/>
  <c r="U8" i="33"/>
  <c r="G494" i="3"/>
  <c r="H47" i="34"/>
  <c r="G560" i="3"/>
  <c r="G558" i="3"/>
  <c r="G549" i="3"/>
  <c r="G537" i="3"/>
  <c r="W17" i="37"/>
  <c r="AC17" i="37"/>
  <c r="AB46" i="21"/>
  <c r="U13" i="34"/>
  <c r="AB23" i="36"/>
  <c r="U23" i="36"/>
  <c r="AZ91" i="3"/>
  <c r="AZ421" i="3"/>
  <c r="AA23" i="33"/>
  <c r="AZ156" i="3"/>
  <c r="AB39" i="40"/>
  <c r="U39" i="40"/>
  <c r="W16" i="35"/>
  <c r="AC16" i="35"/>
  <c r="W29" i="34"/>
  <c r="AC29" i="34"/>
  <c r="B72" i="46"/>
  <c r="B51" i="46"/>
  <c r="B62" i="46"/>
  <c r="U39" i="34"/>
  <c r="AB39" i="34"/>
  <c r="AC43" i="34"/>
  <c r="W43" i="34"/>
  <c r="AZ117" i="3"/>
  <c r="AZ455" i="3"/>
  <c r="S38" i="40"/>
  <c r="AA46" i="33"/>
  <c r="S46" i="33"/>
  <c r="AA43" i="34"/>
  <c r="S43" i="34"/>
  <c r="S29" i="35"/>
  <c r="AA29" i="35"/>
  <c r="AZ287" i="3"/>
  <c r="AZ285" i="3"/>
  <c r="W27" i="21"/>
  <c r="AZ553"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263" i="3"/>
  <c r="AZ214" i="3"/>
  <c r="AZ349" i="3"/>
  <c r="AZ445" i="3"/>
  <c r="AZ56" i="3"/>
  <c r="AZ279" i="3"/>
  <c r="AZ267" i="3"/>
  <c r="AZ96" i="3"/>
  <c r="AZ369" i="3"/>
  <c r="AZ93" i="3"/>
  <c r="AZ92" i="3"/>
  <c r="AZ479" i="3"/>
  <c r="AZ175" i="3"/>
  <c r="AZ264" i="3"/>
  <c r="AZ254" i="3"/>
  <c r="AZ207" i="3"/>
  <c r="AZ278"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AZ549" i="3" s="1"/>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BT5" i="3"/>
  <c r="AZ536" i="3"/>
  <c r="AZ129" i="3"/>
  <c r="AZ124" i="3"/>
  <c r="AZ213" i="3"/>
  <c r="AZ224" i="3"/>
  <c r="AZ426" i="3"/>
  <c r="AZ463" i="3"/>
  <c r="U16" i="36"/>
  <c r="C20" i="46"/>
  <c r="U21" i="39"/>
  <c r="S30" i="34"/>
  <c r="AA30" i="34"/>
  <c r="H39" i="21"/>
  <c r="F45" i="33"/>
  <c r="F12" i="37"/>
  <c r="J12" i="37"/>
  <c r="H12" i="37"/>
  <c r="W40" i="34"/>
  <c r="W41" i="21"/>
  <c r="H30" i="21"/>
  <c r="U30" i="21" s="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AZ417" i="3" s="1"/>
  <c r="G418" i="3"/>
  <c r="BA418" i="3"/>
  <c r="BL418" i="3"/>
  <c r="G419" i="3"/>
  <c r="BL419" i="3"/>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S9" i="59"/>
  <c r="B8" i="59"/>
  <c r="B7" i="59" s="1"/>
  <c r="B6" i="59" s="1"/>
  <c r="B5" i="59" s="1"/>
  <c r="AC27" i="37"/>
  <c r="BD5" i="3"/>
  <c r="U22" i="35"/>
  <c r="AZ48" i="3"/>
  <c r="AZ414" i="3"/>
  <c r="U12" i="21"/>
  <c r="AB12" i="21"/>
  <c r="S21" i="40"/>
  <c r="AA21" i="40"/>
  <c r="S30" i="35"/>
  <c r="AA30" i="35"/>
  <c r="E20" i="6"/>
  <c r="D9" i="12" s="1"/>
  <c r="B27" i="9"/>
  <c r="F42" i="40"/>
  <c r="H42" i="40"/>
  <c r="J42" i="40"/>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BA488" i="3"/>
  <c r="AZ488" i="3" s="1"/>
  <c r="BL487" i="3"/>
  <c r="AZ487" i="3" s="1"/>
  <c r="BL486" i="3"/>
  <c r="BA486" i="3"/>
  <c r="BA485" i="3"/>
  <c r="BP5" i="3"/>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AZ249" i="3"/>
  <c r="AZ63" i="3"/>
  <c r="AZ228" i="3"/>
  <c r="AZ512" i="3"/>
  <c r="D45" i="59"/>
  <c r="BM5" i="3"/>
  <c r="AZ403" i="3"/>
  <c r="C42" i="1"/>
  <c r="C25" i="12" s="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AZ565" i="3" s="1"/>
  <c r="BA554" i="3"/>
  <c r="AZ554" i="3" s="1"/>
  <c r="BL515" i="3"/>
  <c r="G513" i="3"/>
  <c r="BA483" i="3"/>
  <c r="AZ483" i="3" s="1"/>
  <c r="AA35" i="34"/>
  <c r="AZ340" i="3"/>
  <c r="H9" i="37"/>
  <c r="J28" i="37"/>
  <c r="S22" i="35"/>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BL516" i="3"/>
  <c r="AZ516" i="3" s="1"/>
  <c r="BA506" i="3"/>
  <c r="AZ506" i="3" s="1"/>
  <c r="G500" i="3"/>
  <c r="G568" i="3"/>
  <c r="BL567" i="3"/>
  <c r="AZ567" i="3" s="1"/>
  <c r="G528" i="3"/>
  <c r="BA190" i="3"/>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G7" i="1"/>
  <c r="AP8" i="1"/>
  <c r="K17" i="4"/>
  <c r="A22" i="51" s="1"/>
  <c r="B16" i="63" s="1"/>
  <c r="G6" i="1"/>
  <c r="C27" i="43"/>
  <c r="D46" i="36"/>
  <c r="C7" i="33"/>
  <c r="C58" i="33" s="1"/>
  <c r="C7" i="34"/>
  <c r="C59" i="34" s="1"/>
  <c r="G19" i="46"/>
  <c r="C7" i="37"/>
  <c r="C52" i="37" s="1"/>
  <c r="C7" i="21"/>
  <c r="C58" i="21" s="1"/>
  <c r="C7" i="35"/>
  <c r="C48" i="35" s="1"/>
  <c r="J51" i="71"/>
  <c r="E4" i="52"/>
  <c r="E11" i="52"/>
  <c r="B7" i="52"/>
  <c r="B6" i="52"/>
  <c r="E8" i="52"/>
  <c r="E13" i="52"/>
  <c r="B22" i="52"/>
  <c r="B14" i="52"/>
  <c r="E22" i="52"/>
  <c r="E7" i="52"/>
  <c r="G15" i="3"/>
  <c r="E23" i="6"/>
  <c r="E22" i="6"/>
  <c r="E9" i="12"/>
  <c r="E10" i="12" s="1"/>
  <c r="K8" i="1"/>
  <c r="M8" i="1" s="1"/>
  <c r="D12" i="11"/>
  <c r="C12" i="11" s="1"/>
  <c r="D21" i="12"/>
  <c r="C21" i="12" s="1"/>
  <c r="O12" i="1"/>
  <c r="P12" i="1" s="1"/>
  <c r="E32" i="6"/>
  <c r="L19" i="6" s="1"/>
  <c r="I1" i="65"/>
  <c r="F64" i="70"/>
  <c r="F58" i="70"/>
  <c r="F31" i="70"/>
  <c r="M17" i="70"/>
  <c r="M6" i="71"/>
  <c r="F9" i="70"/>
  <c r="M28" i="71"/>
  <c r="M27" i="70"/>
  <c r="L48" i="71"/>
  <c r="M23" i="70"/>
  <c r="M22" i="71"/>
  <c r="M24" i="71"/>
  <c r="M22" i="70"/>
  <c r="J17" i="44"/>
  <c r="F40" i="44"/>
  <c r="F18" i="44"/>
  <c r="F37" i="71"/>
  <c r="F38" i="71"/>
  <c r="M30" i="44"/>
  <c r="M28" i="15"/>
  <c r="L47" i="15"/>
  <c r="F35" i="71"/>
  <c r="F38" i="44"/>
  <c r="F28" i="44"/>
  <c r="M23" i="71"/>
  <c r="M9" i="71"/>
  <c r="M8" i="71"/>
  <c r="M8" i="70"/>
  <c r="F26" i="70"/>
  <c r="F36" i="15"/>
  <c r="M9" i="70"/>
  <c r="M8" i="44"/>
  <c r="F39" i="44"/>
  <c r="F6" i="70"/>
  <c r="M6" i="70"/>
  <c r="C14" i="71"/>
  <c r="F43" i="71"/>
  <c r="F13" i="71"/>
  <c r="J36" i="71"/>
  <c r="M24" i="15"/>
  <c r="F37" i="15"/>
  <c r="M10" i="44"/>
  <c r="M24" i="44"/>
  <c r="J15" i="71"/>
  <c r="F42" i="70"/>
  <c r="L48" i="44"/>
  <c r="F40" i="71"/>
  <c r="J36" i="70"/>
  <c r="F8" i="44"/>
  <c r="M24" i="70"/>
  <c r="F16" i="71"/>
  <c r="M27" i="71"/>
  <c r="M21" i="71"/>
  <c r="M11" i="44"/>
  <c r="F11" i="44"/>
  <c r="L47" i="71"/>
  <c r="M26" i="71"/>
  <c r="F36" i="70"/>
  <c r="F41" i="71"/>
  <c r="M28" i="44"/>
  <c r="M6" i="15"/>
  <c r="M29" i="44"/>
  <c r="F9" i="71"/>
  <c r="M25" i="44"/>
  <c r="F7" i="71"/>
  <c r="F43" i="44"/>
  <c r="F45" i="44"/>
  <c r="F15" i="44"/>
  <c r="F26" i="71"/>
  <c r="F6" i="71"/>
  <c r="F40" i="70"/>
  <c r="M29" i="71"/>
  <c r="F10" i="44"/>
  <c r="L48" i="70"/>
  <c r="M26" i="44"/>
  <c r="F38" i="70"/>
  <c r="F36" i="71"/>
  <c r="L49" i="44"/>
  <c r="L47" i="70"/>
  <c r="F8" i="70"/>
  <c r="M28" i="70"/>
  <c r="F42" i="71"/>
  <c r="F8" i="71"/>
  <c r="J15" i="70"/>
  <c r="AC26" i="35" l="1"/>
  <c r="W26" i="35"/>
  <c r="AB13" i="36"/>
  <c r="U13" i="36"/>
  <c r="AZ190" i="3"/>
  <c r="I7" i="6"/>
  <c r="G3" i="46" s="1"/>
  <c r="AB11" i="46" s="1"/>
  <c r="AB13" i="46" s="1"/>
  <c r="C13" i="39"/>
  <c r="AZ372" i="3"/>
  <c r="S13" i="36"/>
  <c r="AA13" i="36"/>
  <c r="F29" i="6"/>
  <c r="AB30" i="21"/>
  <c r="AZ87" i="3"/>
  <c r="AZ114" i="3"/>
  <c r="AC34" i="36"/>
  <c r="W34" i="36"/>
  <c r="AA31" i="33"/>
  <c r="S31" i="33"/>
  <c r="U34" i="36"/>
  <c r="AB34" i="36"/>
  <c r="AZ419" i="3"/>
  <c r="AZ548" i="3"/>
  <c r="AB31" i="33"/>
  <c r="AA47" i="39"/>
  <c r="U13" i="35"/>
  <c r="AB13" i="35"/>
  <c r="AZ556" i="3"/>
  <c r="AZ489" i="3"/>
  <c r="AZ317" i="3"/>
  <c r="AZ374" i="3"/>
  <c r="AC13" i="35"/>
  <c r="W13" i="35"/>
  <c r="AZ341" i="3"/>
  <c r="AZ481" i="3"/>
  <c r="W23" i="36"/>
  <c r="AC23" i="36"/>
  <c r="AB14" i="21"/>
  <c r="U14" i="21"/>
  <c r="W9" i="34"/>
  <c r="AC9" i="34"/>
  <c r="AZ518" i="3"/>
  <c r="AA26" i="35"/>
  <c r="S26" i="35"/>
  <c r="AA9" i="34"/>
  <c r="S9" i="34"/>
  <c r="D18" i="9"/>
  <c r="M44" i="9" s="1"/>
  <c r="AZ88" i="3"/>
  <c r="J22" i="46"/>
  <c r="AA11" i="46"/>
  <c r="AA13" i="46" s="1"/>
  <c r="C101" i="46"/>
  <c r="C105" i="46" s="1"/>
  <c r="I101" i="46"/>
  <c r="I105" i="46" s="1"/>
  <c r="AJ11" i="46"/>
  <c r="AJ13" i="46" s="1"/>
  <c r="H101" i="46"/>
  <c r="H102" i="46" s="1"/>
  <c r="E22" i="46"/>
  <c r="L101" i="46"/>
  <c r="L105" i="46" s="1"/>
  <c r="AI11" i="46"/>
  <c r="AI13" i="46" s="1"/>
  <c r="F22" i="46"/>
  <c r="H22" i="46"/>
  <c r="G22" i="46"/>
  <c r="Z7" i="46"/>
  <c r="AH11" i="46"/>
  <c r="AH13" i="46" s="1"/>
  <c r="AD11" i="46"/>
  <c r="AD13" i="46" s="1"/>
  <c r="AC11" i="46"/>
  <c r="AC13" i="46" s="1"/>
  <c r="K101" i="46"/>
  <c r="K105" i="46" s="1"/>
  <c r="AE11" i="46"/>
  <c r="AE13" i="46" s="1"/>
  <c r="G29" i="6"/>
  <c r="E29" i="6" s="1"/>
  <c r="K15" i="1" s="1"/>
  <c r="K20" i="1" s="1"/>
  <c r="F101" i="46"/>
  <c r="F107" i="46" s="1"/>
  <c r="N104" i="45"/>
  <c r="Y11" i="46"/>
  <c r="Y13" i="46" s="1"/>
  <c r="AF11" i="46"/>
  <c r="AF13" i="46" s="1"/>
  <c r="G101" i="46"/>
  <c r="G105" i="46" s="1"/>
  <c r="B113" i="46"/>
  <c r="I118" i="46" s="1"/>
  <c r="J118" i="46" s="1"/>
  <c r="K118" i="46" s="1"/>
  <c r="L118" i="46" s="1"/>
  <c r="M118" i="46" s="1"/>
  <c r="G28" i="6"/>
  <c r="N101" i="46"/>
  <c r="N102" i="46" s="1"/>
  <c r="E101" i="46"/>
  <c r="E103" i="46" s="1"/>
  <c r="J101" i="46"/>
  <c r="J102" i="46" s="1"/>
  <c r="AG11" i="46"/>
  <c r="AG13" i="46" s="1"/>
  <c r="M101" i="46"/>
  <c r="M107" i="46" s="1"/>
  <c r="Z11" i="46"/>
  <c r="Z13" i="46" s="1"/>
  <c r="D101" i="46"/>
  <c r="D109" i="46" s="1"/>
  <c r="G27" i="6"/>
  <c r="E19" i="6"/>
  <c r="C9" i="12" s="1"/>
  <c r="AC31" i="21"/>
  <c r="W31" i="21"/>
  <c r="AB13" i="37"/>
  <c r="U13" i="37"/>
  <c r="AC29" i="33"/>
  <c r="W29" i="33"/>
  <c r="AB29" i="34"/>
  <c r="U29" i="34"/>
  <c r="AB27" i="21"/>
  <c r="U27" i="21"/>
  <c r="C30" i="44"/>
  <c r="AA11" i="35"/>
  <c r="S11" i="35"/>
  <c r="S45" i="34"/>
  <c r="AA45" i="34"/>
  <c r="C31" i="43"/>
  <c r="C28" i="71"/>
  <c r="C28" i="70"/>
  <c r="AB13" i="33"/>
  <c r="U13" i="33"/>
  <c r="W11" i="35"/>
  <c r="AC11" i="35"/>
  <c r="AA11" i="21"/>
  <c r="S11" i="21"/>
  <c r="U12" i="36"/>
  <c r="AB12" i="36"/>
  <c r="U34" i="40"/>
  <c r="AB34" i="40"/>
  <c r="AB11" i="21"/>
  <c r="U11" i="21"/>
  <c r="W12" i="34"/>
  <c r="AC12" i="34"/>
  <c r="C28" i="15"/>
  <c r="U47" i="34"/>
  <c r="AB47" i="34"/>
  <c r="U25" i="35"/>
  <c r="AB25" i="35"/>
  <c r="U12" i="34"/>
  <c r="AB12" i="34"/>
  <c r="AB24" i="36"/>
  <c r="U24" i="36"/>
  <c r="W23" i="39"/>
  <c r="AC13" i="37"/>
  <c r="W13" i="37"/>
  <c r="AA28" i="37"/>
  <c r="S28" i="37"/>
  <c r="AC46" i="33"/>
  <c r="W46" i="33"/>
  <c r="W45" i="39"/>
  <c r="AC45" i="39"/>
  <c r="W21" i="21"/>
  <c r="AC21" i="21"/>
  <c r="U28" i="37"/>
  <c r="AB28" i="37"/>
  <c r="AB46" i="33"/>
  <c r="U46" i="33"/>
  <c r="W12" i="33"/>
  <c r="AC12" i="33"/>
  <c r="AZ522" i="3"/>
  <c r="E11" i="6"/>
  <c r="E58" i="40" s="1"/>
  <c r="AZ418" i="3"/>
  <c r="AA24" i="35"/>
  <c r="S24" i="35"/>
  <c r="AB12" i="33"/>
  <c r="U12" i="33"/>
  <c r="U24" i="35"/>
  <c r="AB24" i="35"/>
  <c r="E65" i="40"/>
  <c r="E67" i="40" s="1"/>
  <c r="AZ20" i="3"/>
  <c r="AZ544" i="3"/>
  <c r="D40" i="59"/>
  <c r="C41" i="59"/>
  <c r="AC24" i="35"/>
  <c r="W24" i="35"/>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AC13" i="36"/>
  <c r="W13" i="36"/>
  <c r="AA12" i="37"/>
  <c r="S12" i="37"/>
  <c r="S39" i="21"/>
  <c r="AA39" i="21"/>
  <c r="AB26" i="37"/>
  <c r="U26" i="37"/>
  <c r="AZ485" i="3"/>
  <c r="AZ409" i="3"/>
  <c r="W29" i="39"/>
  <c r="AC29" i="39"/>
  <c r="U37" i="39"/>
  <c r="AB37" i="39"/>
  <c r="S26" i="37"/>
  <c r="AA26" i="37"/>
  <c r="AZ457" i="3"/>
  <c r="AA30" i="21"/>
  <c r="S30" i="21"/>
  <c r="AB39" i="21"/>
  <c r="U39" i="21"/>
  <c r="F28" i="6"/>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3" i="15"/>
  <c r="K7" i="1"/>
  <c r="E15" i="6"/>
  <c r="E67" i="39" s="1"/>
  <c r="C107" i="46"/>
  <c r="E14" i="6"/>
  <c r="E66" i="39" s="1"/>
  <c r="M102" i="46"/>
  <c r="G17" i="46"/>
  <c r="C16" i="46" s="1"/>
  <c r="D5" i="46" s="1"/>
  <c r="F65" i="70"/>
  <c r="C27" i="70"/>
  <c r="F64" i="15"/>
  <c r="F50" i="70"/>
  <c r="J60" i="70"/>
  <c r="Q49" i="70" s="1"/>
  <c r="J57" i="70"/>
  <c r="J55" i="70" s="1"/>
  <c r="J58" i="70" s="1"/>
  <c r="Q51" i="70" s="1"/>
  <c r="L56" i="70"/>
  <c r="L57" i="70"/>
  <c r="I54" i="70"/>
  <c r="J59" i="70"/>
  <c r="L60" i="70"/>
  <c r="Q67" i="70" s="1"/>
  <c r="J53" i="70"/>
  <c r="Q53" i="70" s="1"/>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AB40" i="40"/>
  <c r="U40" i="40"/>
  <c r="L56" i="71"/>
  <c r="G5" i="3"/>
  <c r="B3" i="3" s="1"/>
  <c r="AC12" i="35"/>
  <c r="W12" i="35"/>
  <c r="W43" i="21"/>
  <c r="AC43" i="21"/>
  <c r="W38" i="39"/>
  <c r="AC38" i="39"/>
  <c r="S15" i="39"/>
  <c r="AA15" i="39"/>
  <c r="AB28" i="21"/>
  <c r="U28" i="21"/>
  <c r="AC32" i="36"/>
  <c r="W32" i="36"/>
  <c r="AA42" i="40"/>
  <c r="S4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F104" i="21"/>
  <c r="H33" i="21"/>
  <c r="AC9" i="37"/>
  <c r="W9" i="37"/>
  <c r="AC15" i="40"/>
  <c r="W15" i="40"/>
  <c r="U29" i="21"/>
  <c r="AB29" i="21"/>
  <c r="S14" i="39"/>
  <c r="AA14" i="39"/>
  <c r="AA23" i="35"/>
  <c r="S23" i="35"/>
  <c r="E70" i="39"/>
  <c r="D72" i="39"/>
  <c r="AB16" i="40"/>
  <c r="U16" i="40"/>
  <c r="AA37" i="21"/>
  <c r="S37" i="21"/>
  <c r="AA40" i="40"/>
  <c r="S40" i="40"/>
  <c r="D9" i="59"/>
  <c r="T9" i="59"/>
  <c r="C8" i="59"/>
  <c r="L59" i="15"/>
  <c r="Q75" i="15" s="1"/>
  <c r="C34" i="71"/>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F9" i="12"/>
  <c r="K9" i="1"/>
  <c r="F3" i="35" s="1"/>
  <c r="S10" i="1"/>
  <c r="S8" i="1"/>
  <c r="F103" i="46"/>
  <c r="F109" i="46"/>
  <c r="L27" i="6"/>
  <c r="I106" i="46"/>
  <c r="I102" i="46"/>
  <c r="O8" i="1"/>
  <c r="P8" i="1" s="1"/>
  <c r="AE11" i="1"/>
  <c r="AE9" i="1"/>
  <c r="M19" i="44"/>
  <c r="F33" i="44"/>
  <c r="M22" i="15"/>
  <c r="M8" i="15"/>
  <c r="M23" i="15"/>
  <c r="L48" i="15"/>
  <c r="M31" i="44"/>
  <c r="M27" i="15"/>
  <c r="F16" i="15"/>
  <c r="J15" i="15"/>
  <c r="F42" i="15"/>
  <c r="F6" i="15"/>
  <c r="F7" i="15"/>
  <c r="M26" i="15"/>
  <c r="F40" i="15"/>
  <c r="M9" i="15"/>
  <c r="F43" i="15"/>
  <c r="J36" i="15"/>
  <c r="C16" i="71"/>
  <c r="M29" i="15"/>
  <c r="C17" i="71"/>
  <c r="F9" i="15"/>
  <c r="F9" i="44"/>
  <c r="F13" i="15"/>
  <c r="F8" i="15"/>
  <c r="F26" i="15"/>
  <c r="F38" i="15"/>
  <c r="C27" i="15" l="1"/>
  <c r="F50" i="15"/>
  <c r="F67" i="15"/>
  <c r="L58" i="15"/>
  <c r="Q74" i="15" s="1"/>
  <c r="J57" i="15"/>
  <c r="J55" i="15" s="1"/>
  <c r="J58" i="15" s="1"/>
  <c r="Q51" i="15" s="1"/>
  <c r="L60" i="15"/>
  <c r="Q58" i="15" s="1"/>
  <c r="J59" i="15"/>
  <c r="L56" i="15"/>
  <c r="J60" i="15"/>
  <c r="Q49" i="15" s="1"/>
  <c r="J53" i="15"/>
  <c r="Q53" i="15" s="1"/>
  <c r="I54" i="15"/>
  <c r="L57" i="15"/>
  <c r="Q72" i="15"/>
  <c r="F65" i="15"/>
  <c r="F65" i="40"/>
  <c r="G65" i="40" s="1"/>
  <c r="H7" i="37"/>
  <c r="K103" i="46"/>
  <c r="I109" i="46"/>
  <c r="I103" i="46"/>
  <c r="K107" i="46"/>
  <c r="D115" i="46"/>
  <c r="E115" i="46" s="1"/>
  <c r="F115" i="46" s="1"/>
  <c r="G115" i="46" s="1"/>
  <c r="H115" i="46" s="1"/>
  <c r="K104" i="46"/>
  <c r="D117" i="46"/>
  <c r="E117" i="46" s="1"/>
  <c r="F117" i="46" s="1"/>
  <c r="G117" i="46" s="1"/>
  <c r="H117" i="46" s="1"/>
  <c r="D104" i="46"/>
  <c r="D22" i="46"/>
  <c r="I104" i="46"/>
  <c r="K6" i="1"/>
  <c r="I107" i="46"/>
  <c r="E107" i="46"/>
  <c r="L109" i="46"/>
  <c r="H109" i="46"/>
  <c r="H104" i="46"/>
  <c r="N103" i="46"/>
  <c r="M109" i="46"/>
  <c r="L106" i="46"/>
  <c r="M105" i="46"/>
  <c r="L102" i="46"/>
  <c r="L103" i="46"/>
  <c r="M106" i="46"/>
  <c r="M104" i="46"/>
  <c r="G106" i="46"/>
  <c r="L104" i="46"/>
  <c r="G102" i="46"/>
  <c r="L107" i="46"/>
  <c r="H106" i="46"/>
  <c r="G104" i="46"/>
  <c r="N109" i="46"/>
  <c r="H105" i="46"/>
  <c r="N105" i="46"/>
  <c r="J106" i="46"/>
  <c r="H103" i="46"/>
  <c r="H107" i="46"/>
  <c r="E104" i="46"/>
  <c r="F105" i="46"/>
  <c r="F106" i="46"/>
  <c r="E28" i="6"/>
  <c r="G30" i="6"/>
  <c r="G31" i="6" s="1"/>
  <c r="F104" i="46"/>
  <c r="I117" i="46"/>
  <c r="J117" i="46" s="1"/>
  <c r="K117" i="46" s="1"/>
  <c r="L117" i="46" s="1"/>
  <c r="M117" i="46" s="1"/>
  <c r="F102" i="46"/>
  <c r="D103" i="46"/>
  <c r="D118" i="46"/>
  <c r="E118" i="46" s="1"/>
  <c r="F118" i="46" s="1"/>
  <c r="D107" i="46"/>
  <c r="B115" i="46"/>
  <c r="C115" i="46" s="1"/>
  <c r="N106" i="46"/>
  <c r="G118" i="46"/>
  <c r="H118" i="46" s="1"/>
  <c r="D105" i="46"/>
  <c r="K102" i="46"/>
  <c r="G109" i="46"/>
  <c r="B117" i="46"/>
  <c r="C117" i="46" s="1"/>
  <c r="I116" i="46"/>
  <c r="J116" i="46" s="1"/>
  <c r="K116" i="46" s="1"/>
  <c r="L116" i="46" s="1"/>
  <c r="M116" i="46" s="1"/>
  <c r="N107" i="46"/>
  <c r="J109" i="46"/>
  <c r="C23" i="46" s="1"/>
  <c r="C21" i="46" s="1"/>
  <c r="C29" i="46" s="1"/>
  <c r="D102" i="46"/>
  <c r="G107" i="46"/>
  <c r="B118" i="46"/>
  <c r="C118" i="46" s="1"/>
  <c r="D116" i="46"/>
  <c r="E116" i="46" s="1"/>
  <c r="F116" i="46" s="1"/>
  <c r="G116" i="46" s="1"/>
  <c r="H116" i="46" s="1"/>
  <c r="D106" i="46"/>
  <c r="K106" i="46"/>
  <c r="G103" i="46"/>
  <c r="I115" i="46"/>
  <c r="J115" i="46" s="1"/>
  <c r="K115" i="46" s="1"/>
  <c r="L115" i="46" s="1"/>
  <c r="M115" i="46" s="1"/>
  <c r="K109" i="46"/>
  <c r="B116" i="46"/>
  <c r="C116" i="46" s="1"/>
  <c r="M103" i="46"/>
  <c r="E102" i="46"/>
  <c r="N104" i="46"/>
  <c r="J104" i="46"/>
  <c r="E106" i="46"/>
  <c r="J105" i="46"/>
  <c r="E109" i="46"/>
  <c r="J103" i="46"/>
  <c r="E105" i="46"/>
  <c r="J107" i="46"/>
  <c r="E63" i="39"/>
  <c r="F30" i="6"/>
  <c r="E36" i="3"/>
  <c r="AT6" i="3"/>
  <c r="E62" i="40"/>
  <c r="D41" i="59"/>
  <c r="T41" i="59"/>
  <c r="C24" i="9"/>
  <c r="C25" i="9"/>
  <c r="M9" i="44"/>
  <c r="J8" i="44" s="1"/>
  <c r="J20" i="44" s="1"/>
  <c r="C8" i="44"/>
  <c r="C34" i="44" s="1"/>
  <c r="H7" i="35"/>
  <c r="AZ5" i="3"/>
  <c r="E3" i="6" s="1"/>
  <c r="D16" i="43" s="1"/>
  <c r="C16" i="43" s="1"/>
  <c r="D21" i="59"/>
  <c r="T21" i="59"/>
  <c r="F7" i="35"/>
  <c r="M7" i="1"/>
  <c r="E61" i="40"/>
  <c r="Q61" i="71"/>
  <c r="C48" i="71"/>
  <c r="Q76" i="44"/>
  <c r="Q75" i="44"/>
  <c r="Q53" i="71"/>
  <c r="C32" i="71"/>
  <c r="C31" i="71" s="1"/>
  <c r="Q54" i="44"/>
  <c r="AO7" i="1"/>
  <c r="E43" i="3"/>
  <c r="E412" i="3"/>
  <c r="E27" i="3"/>
  <c r="C5" i="46"/>
  <c r="F1" i="70"/>
  <c r="Q58" i="70"/>
  <c r="F1" i="15"/>
  <c r="Q62" i="71"/>
  <c r="Q74" i="70"/>
  <c r="Q67" i="71"/>
  <c r="Q75" i="70"/>
  <c r="AB33" i="21"/>
  <c r="U33" i="21"/>
  <c r="Q62" i="15"/>
  <c r="E395" i="3"/>
  <c r="E227" i="3"/>
  <c r="F7" i="33"/>
  <c r="F7" i="34"/>
  <c r="N55" i="59"/>
  <c r="N54" i="59"/>
  <c r="E58" i="39"/>
  <c r="F27" i="6"/>
  <c r="E16" i="6"/>
  <c r="E53" i="40"/>
  <c r="T29" i="59"/>
  <c r="D29" i="59"/>
  <c r="E234" i="3"/>
  <c r="E513" i="3"/>
  <c r="J7" i="34"/>
  <c r="D25" i="59"/>
  <c r="T25" i="59"/>
  <c r="D8" i="59"/>
  <c r="C7" i="59"/>
  <c r="F70" i="39"/>
  <c r="E72"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E355" i="3"/>
  <c r="E135" i="3"/>
  <c r="E91" i="3"/>
  <c r="H7" i="21"/>
  <c r="U7" i="21" s="1"/>
  <c r="H7" i="34"/>
  <c r="U7" i="34" s="1"/>
  <c r="J7" i="37"/>
  <c r="AC7" i="37" s="1"/>
  <c r="V42" i="37" s="1"/>
  <c r="I42" i="37" s="1"/>
  <c r="J7" i="35"/>
  <c r="W7" i="35" s="1"/>
  <c r="E59" i="40"/>
  <c r="E64" i="39"/>
  <c r="E568" i="3"/>
  <c r="E399" i="3"/>
  <c r="E206" i="3"/>
  <c r="U34" i="39"/>
  <c r="AB34" i="39"/>
  <c r="AC27" i="39"/>
  <c r="W27" i="39"/>
  <c r="AA15" i="21"/>
  <c r="S15" i="21"/>
  <c r="W15" i="21"/>
  <c r="AC15" i="21"/>
  <c r="M9" i="1"/>
  <c r="O9" i="1" s="1"/>
  <c r="P9" i="1" s="1"/>
  <c r="J7" i="33"/>
  <c r="H7" i="33"/>
  <c r="AC7" i="21"/>
  <c r="V48" i="21" s="1"/>
  <c r="I48" i="21" s="1"/>
  <c r="W7" i="21"/>
  <c r="F7" i="21"/>
  <c r="F46" i="36"/>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W7" i="34"/>
  <c r="AC7" i="34"/>
  <c r="V49" i="34" s="1"/>
  <c r="I49" i="34" s="1"/>
  <c r="AA7" i="34"/>
  <c r="R49" i="34" s="1"/>
  <c r="S7" i="34"/>
  <c r="U7" i="37"/>
  <c r="AB7" i="37"/>
  <c r="T42" i="37" s="1"/>
  <c r="G42" i="37" s="1"/>
  <c r="U7" i="35"/>
  <c r="AB7" i="35"/>
  <c r="T38" i="35" s="1"/>
  <c r="G38" i="35" s="1"/>
  <c r="S3" i="46"/>
  <c r="T3" i="46" s="1"/>
  <c r="V3" i="46" s="1"/>
  <c r="S6" i="46"/>
  <c r="T6" i="46" s="1"/>
  <c r="V6" i="46" s="1"/>
  <c r="S4" i="46"/>
  <c r="T4" i="46" s="1"/>
  <c r="V4" i="46" s="1"/>
  <c r="S5" i="46"/>
  <c r="T5" i="46" s="1"/>
  <c r="V5" i="46" s="1"/>
  <c r="S2" i="46"/>
  <c r="T2" i="46" s="1"/>
  <c r="V2" i="46" s="1"/>
  <c r="S7" i="46"/>
  <c r="T7" i="46" s="1"/>
  <c r="V7" i="46" s="1"/>
  <c r="F70" i="15"/>
  <c r="F49" i="15"/>
  <c r="C6" i="15"/>
  <c r="M7" i="15"/>
  <c r="O15" i="12"/>
  <c r="F10" i="12"/>
  <c r="S9" i="1"/>
  <c r="C15" i="43"/>
  <c r="O10" i="1"/>
  <c r="M17" i="15"/>
  <c r="F31" i="15"/>
  <c r="F58" i="15"/>
  <c r="AE7" i="1"/>
  <c r="M29" i="70"/>
  <c r="N5" i="65"/>
  <c r="C16" i="15"/>
  <c r="I7" i="65"/>
  <c r="N6" i="65"/>
  <c r="J7" i="65"/>
  <c r="N4" i="65"/>
  <c r="N3" i="65"/>
  <c r="J5" i="65"/>
  <c r="N7" i="65"/>
  <c r="F43" i="70"/>
  <c r="F46" i="44"/>
  <c r="J4" i="65"/>
  <c r="I5" i="65"/>
  <c r="I4" i="65"/>
  <c r="F41" i="15"/>
  <c r="J6" i="65"/>
  <c r="I3" i="65"/>
  <c r="J3" i="65"/>
  <c r="AE6" i="1"/>
  <c r="I6" i="65"/>
  <c r="C18" i="44"/>
  <c r="Q61" i="15" l="1"/>
  <c r="F67" i="40"/>
  <c r="Q67" i="15"/>
  <c r="H16" i="1"/>
  <c r="AH6" i="1"/>
  <c r="K14" i="1"/>
  <c r="M14" i="1" s="1"/>
  <c r="O14" i="1" s="1"/>
  <c r="O7" i="1"/>
  <c r="P7" i="1" s="1"/>
  <c r="G16" i="1"/>
  <c r="J12" i="39" s="1"/>
  <c r="W12" i="39" s="1"/>
  <c r="AP16" i="1"/>
  <c r="F22" i="11" s="1"/>
  <c r="Q16" i="1"/>
  <c r="F24" i="43" s="1"/>
  <c r="C26" i="43" s="1"/>
  <c r="D24" i="43" s="1"/>
  <c r="F70" i="70"/>
  <c r="M6" i="1"/>
  <c r="E30" i="6"/>
  <c r="K16" i="1"/>
  <c r="D113" i="46"/>
  <c r="F31" i="6"/>
  <c r="E68" i="39"/>
  <c r="C21" i="4"/>
  <c r="O5" i="54" s="1"/>
  <c r="B45" i="63" s="1"/>
  <c r="E27" i="6"/>
  <c r="D16" i="12"/>
  <c r="C16" i="12" s="1"/>
  <c r="D45" i="9"/>
  <c r="W7" i="37"/>
  <c r="D46" i="9"/>
  <c r="AY6" i="3"/>
  <c r="AY70" i="3" s="1"/>
  <c r="D10" i="11"/>
  <c r="AC7" i="35"/>
  <c r="V38" i="35" s="1"/>
  <c r="I38" i="35" s="1"/>
  <c r="E6" i="6"/>
  <c r="L38" i="9"/>
  <c r="B14" i="66" s="1"/>
  <c r="B1" i="66" s="1"/>
  <c r="C8" i="66" s="1"/>
  <c r="J1" i="65"/>
  <c r="C4" i="65"/>
  <c r="B39" i="1" s="1"/>
  <c r="E20" i="46"/>
  <c r="AB7" i="34"/>
  <c r="T49" i="34" s="1"/>
  <c r="G49" i="34" s="1"/>
  <c r="G54" i="34" s="1"/>
  <c r="H54" i="34" s="1"/>
  <c r="H6" i="3"/>
  <c r="G70" i="39"/>
  <c r="F72" i="39"/>
  <c r="AC6" i="3"/>
  <c r="H65" i="40"/>
  <c r="G67" i="40"/>
  <c r="C6" i="59"/>
  <c r="D7" i="59"/>
  <c r="F68" i="15"/>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P10" i="1"/>
  <c r="C16" i="70"/>
  <c r="F41" i="70"/>
  <c r="F7" i="70"/>
  <c r="E2" i="65"/>
  <c r="F7" i="67"/>
  <c r="E3" i="65"/>
  <c r="M16" i="1" l="1"/>
  <c r="P14" i="1"/>
  <c r="F33" i="12"/>
  <c r="C34" i="12" s="1"/>
  <c r="D33" i="12" s="1"/>
  <c r="F12" i="39"/>
  <c r="AA12" i="39" s="1"/>
  <c r="AC12" i="39"/>
  <c r="J12" i="40"/>
  <c r="AC12" i="40" s="1"/>
  <c r="H12" i="39"/>
  <c r="U12" i="39" s="1"/>
  <c r="H12" i="40"/>
  <c r="U12" i="40" s="1"/>
  <c r="F12" i="40"/>
  <c r="S12" i="40" s="1"/>
  <c r="F49" i="70"/>
  <c r="C48" i="70" s="1"/>
  <c r="M7" i="70"/>
  <c r="J6" i="70" s="1"/>
  <c r="J18" i="70" s="1"/>
  <c r="C6" i="70"/>
  <c r="C33" i="70" s="1"/>
  <c r="F18" i="11"/>
  <c r="C18" i="11" s="1"/>
  <c r="N16" i="1"/>
  <c r="C29" i="43" s="1"/>
  <c r="L16" i="1"/>
  <c r="O6" i="1"/>
  <c r="C13" i="43"/>
  <c r="C14" i="43" s="1"/>
  <c r="D19" i="12"/>
  <c r="C19" i="12" s="1"/>
  <c r="AY48" i="3"/>
  <c r="C7" i="66"/>
  <c r="AY449" i="3"/>
  <c r="AY51" i="3"/>
  <c r="AY173" i="3"/>
  <c r="AY401" i="3"/>
  <c r="AY571" i="3"/>
  <c r="AY373" i="3"/>
  <c r="BB6" i="3"/>
  <c r="AY28" i="3"/>
  <c r="AY101" i="3"/>
  <c r="AY86" i="3"/>
  <c r="AY145" i="3"/>
  <c r="AY378" i="3"/>
  <c r="AY142" i="3"/>
  <c r="AY553" i="3"/>
  <c r="AY134" i="3"/>
  <c r="AY383" i="3"/>
  <c r="AY503" i="3"/>
  <c r="AY477" i="3"/>
  <c r="AY180" i="3"/>
  <c r="AY68" i="3"/>
  <c r="AY564" i="3"/>
  <c r="AY348" i="3"/>
  <c r="AY218" i="3"/>
  <c r="AY264" i="3"/>
  <c r="AY520" i="3"/>
  <c r="AY16" i="3"/>
  <c r="AY208" i="3"/>
  <c r="AY283" i="3"/>
  <c r="AY192" i="3"/>
  <c r="AY464" i="3"/>
  <c r="AY64" i="3"/>
  <c r="AY214" i="3"/>
  <c r="AY156" i="3"/>
  <c r="AY411" i="3"/>
  <c r="AY346" i="3"/>
  <c r="AY502" i="3"/>
  <c r="AY402" i="3"/>
  <c r="AY223" i="3"/>
  <c r="AY81" i="3"/>
  <c r="AY133" i="3"/>
  <c r="AY396" i="3"/>
  <c r="AY60" i="3"/>
  <c r="AY37" i="3"/>
  <c r="BH6" i="3"/>
  <c r="AY310" i="3"/>
  <c r="AY528" i="3"/>
  <c r="AY20" i="3"/>
  <c r="AY572" i="3"/>
  <c r="AY335" i="3"/>
  <c r="AY29" i="3"/>
  <c r="AY429" i="3"/>
  <c r="AY394" i="3"/>
  <c r="AY112" i="3"/>
  <c r="AY352" i="3"/>
  <c r="AY548" i="3"/>
  <c r="AY487" i="3"/>
  <c r="K19" i="6"/>
  <c r="K21" i="6"/>
  <c r="M21" i="6" s="1"/>
  <c r="I21" i="6" s="1"/>
  <c r="S21" i="6" s="1"/>
  <c r="K23" i="6"/>
  <c r="M23" i="6" s="1"/>
  <c r="I23" i="6" s="1"/>
  <c r="S23" i="6" s="1"/>
  <c r="K20" i="6"/>
  <c r="K22" i="6"/>
  <c r="M22" i="6" s="1"/>
  <c r="I22" i="6" s="1"/>
  <c r="S22" i="6" s="1"/>
  <c r="E31" i="6"/>
  <c r="K26" i="6"/>
  <c r="M26" i="6" s="1"/>
  <c r="I26" i="6" s="1"/>
  <c r="S26" i="6" s="1"/>
  <c r="K24" i="6"/>
  <c r="M24" i="6" s="1"/>
  <c r="I24" i="6" s="1"/>
  <c r="S24" i="6" s="1"/>
  <c r="K25" i="6"/>
  <c r="M25" i="6" s="1"/>
  <c r="I25" i="6" s="1"/>
  <c r="S25" i="6" s="1"/>
  <c r="AY157" i="3"/>
  <c r="AY446" i="3"/>
  <c r="AY522" i="3"/>
  <c r="AY124" i="3"/>
  <c r="AY364" i="3"/>
  <c r="AY226" i="3"/>
  <c r="AY302" i="3"/>
  <c r="AY385" i="3"/>
  <c r="AY406" i="3"/>
  <c r="AY569" i="3"/>
  <c r="AY136" i="3"/>
  <c r="AY13" i="3"/>
  <c r="AY510" i="3"/>
  <c r="AY229" i="3"/>
  <c r="AY384" i="3"/>
  <c r="AY224" i="3"/>
  <c r="AY125" i="3"/>
  <c r="AY159" i="3"/>
  <c r="AY552" i="3"/>
  <c r="AY327" i="3"/>
  <c r="AY395" i="3"/>
  <c r="AY491" i="3"/>
  <c r="AY275" i="3"/>
  <c r="BO6" i="3"/>
  <c r="AY431" i="3"/>
  <c r="AY88" i="3"/>
  <c r="AY36" i="3"/>
  <c r="AY270" i="3"/>
  <c r="AY204" i="3"/>
  <c r="AY301" i="3"/>
  <c r="AY525" i="3"/>
  <c r="AY95" i="3"/>
  <c r="AY535" i="3"/>
  <c r="AY397" i="3"/>
  <c r="AY375" i="3"/>
  <c r="AY32" i="3"/>
  <c r="AY56" i="3"/>
  <c r="AY273" i="3"/>
  <c r="AY57" i="3"/>
  <c r="AY245" i="3"/>
  <c r="AY18" i="3"/>
  <c r="AY314" i="3"/>
  <c r="AY370" i="3"/>
  <c r="AY479" i="3"/>
  <c r="AY319" i="3"/>
  <c r="AY295" i="3"/>
  <c r="AY221" i="3"/>
  <c r="AY22" i="3"/>
  <c r="AY252" i="3"/>
  <c r="AY451" i="3"/>
  <c r="AY126" i="3"/>
  <c r="AY408" i="3"/>
  <c r="AY439" i="3"/>
  <c r="AY216" i="3"/>
  <c r="AY507" i="3"/>
  <c r="AY463" i="3"/>
  <c r="AY236" i="3"/>
  <c r="BK6" i="3"/>
  <c r="AY188" i="3"/>
  <c r="AY328" i="3"/>
  <c r="AY471" i="3"/>
  <c r="AY303" i="3"/>
  <c r="AY426" i="3"/>
  <c r="AY453" i="3"/>
  <c r="AY296" i="3"/>
  <c r="AY259" i="3"/>
  <c r="AY368" i="3"/>
  <c r="AY55" i="3"/>
  <c r="AY249" i="3"/>
  <c r="AY496" i="3"/>
  <c r="AY181" i="3"/>
  <c r="AY168" i="3"/>
  <c r="AY111" i="3"/>
  <c r="AY141" i="3"/>
  <c r="AY294" i="3"/>
  <c r="AY98" i="3"/>
  <c r="AY414" i="3"/>
  <c r="BL6" i="3"/>
  <c r="AY83" i="3"/>
  <c r="AY499" i="3"/>
  <c r="AY91" i="3"/>
  <c r="AY231" i="3"/>
  <c r="AY242" i="3"/>
  <c r="AY448" i="3"/>
  <c r="AY389" i="3"/>
  <c r="AY570" i="3"/>
  <c r="AY258" i="3"/>
  <c r="AY369" i="3"/>
  <c r="BI6" i="3"/>
  <c r="AY416" i="3"/>
  <c r="AY540" i="3"/>
  <c r="AY452" i="3"/>
  <c r="AY185" i="3"/>
  <c r="AY517" i="3"/>
  <c r="AY367" i="3"/>
  <c r="AY199" i="3"/>
  <c r="AY284" i="3"/>
  <c r="AY306" i="3"/>
  <c r="AY40" i="3"/>
  <c r="AY419" i="3"/>
  <c r="AY304" i="3"/>
  <c r="AY425" i="3"/>
  <c r="AY518" i="3"/>
  <c r="AY380" i="3"/>
  <c r="AY254" i="3"/>
  <c r="AY285" i="3"/>
  <c r="AY345" i="3"/>
  <c r="AY568" i="3"/>
  <c r="AY388" i="3"/>
  <c r="AY555" i="3"/>
  <c r="AY430" i="3"/>
  <c r="AY176" i="3"/>
  <c r="AY500" i="3"/>
  <c r="AY543" i="3"/>
  <c r="AY531" i="3"/>
  <c r="AY255" i="3"/>
  <c r="AY291" i="3"/>
  <c r="AY184" i="3"/>
  <c r="AY153" i="3"/>
  <c r="AY550" i="3"/>
  <c r="AY450" i="3"/>
  <c r="AY144" i="3"/>
  <c r="AY476" i="3"/>
  <c r="AY46" i="3"/>
  <c r="AY151" i="3"/>
  <c r="AY232" i="3"/>
  <c r="AY179" i="3"/>
  <c r="AY443" i="3"/>
  <c r="AY338" i="3"/>
  <c r="AY563" i="3"/>
  <c r="AY84" i="3"/>
  <c r="AY26" i="3"/>
  <c r="AY298" i="3"/>
  <c r="AY34" i="3"/>
  <c r="BE6" i="3"/>
  <c r="AY417" i="3"/>
  <c r="AY162" i="3"/>
  <c r="AY107" i="3"/>
  <c r="AY198" i="3"/>
  <c r="AY529" i="3"/>
  <c r="BC6" i="3"/>
  <c r="AY320" i="3"/>
  <c r="AY514" i="3"/>
  <c r="AY155" i="3"/>
  <c r="AY437" i="3"/>
  <c r="AY515" i="3"/>
  <c r="AY486" i="3"/>
  <c r="AY455" i="3"/>
  <c r="AY27" i="3"/>
  <c r="AY177" i="3"/>
  <c r="AY459" i="3"/>
  <c r="AY233" i="3"/>
  <c r="AY43" i="3"/>
  <c r="AY289" i="3"/>
  <c r="AY244" i="3"/>
  <c r="AY516" i="3"/>
  <c r="AY286" i="3"/>
  <c r="AY41" i="3"/>
  <c r="AY495" i="3"/>
  <c r="AY472" i="3"/>
  <c r="AY171" i="3"/>
  <c r="AY447" i="3"/>
  <c r="AY398" i="3"/>
  <c r="AY154" i="3"/>
  <c r="AY482" i="3"/>
  <c r="AY469" i="3"/>
  <c r="AY359" i="3"/>
  <c r="AY123" i="3"/>
  <c r="AY391" i="3"/>
  <c r="AY228" i="3"/>
  <c r="AY363" i="3"/>
  <c r="AY130" i="3"/>
  <c r="AY240" i="3"/>
  <c r="AY532" i="3"/>
  <c r="AY343" i="3"/>
  <c r="AY405" i="3"/>
  <c r="AY331" i="3"/>
  <c r="BR6" i="3"/>
  <c r="AY418" i="3"/>
  <c r="AY504" i="3"/>
  <c r="AY344" i="3"/>
  <c r="AY44" i="3"/>
  <c r="AY77" i="3"/>
  <c r="AY97" i="3"/>
  <c r="AY114" i="3"/>
  <c r="AY251" i="3"/>
  <c r="AY113" i="3"/>
  <c r="AY196" i="3"/>
  <c r="AY559" i="3"/>
  <c r="AY182" i="3"/>
  <c r="AY399" i="3"/>
  <c r="AY470" i="3"/>
  <c r="AY52" i="3"/>
  <c r="AY465" i="3"/>
  <c r="AY78" i="3"/>
  <c r="AY235" i="3"/>
  <c r="AY17" i="3"/>
  <c r="AY143" i="3"/>
  <c r="AY433" i="3"/>
  <c r="AY428" i="3"/>
  <c r="AY409" i="3"/>
  <c r="AY461" i="3"/>
  <c r="AY103" i="3"/>
  <c r="AY485" i="3"/>
  <c r="AY243" i="3"/>
  <c r="AY497" i="3"/>
  <c r="AY33" i="3"/>
  <c r="AY76" i="3"/>
  <c r="AY61" i="3"/>
  <c r="AY329" i="3"/>
  <c r="AY148" i="3"/>
  <c r="AY297" i="3"/>
  <c r="AY207" i="3"/>
  <c r="AY45" i="3"/>
  <c r="AY498" i="3"/>
  <c r="AY238" i="3"/>
  <c r="AY276" i="3"/>
  <c r="AY458" i="3"/>
  <c r="AY351" i="3"/>
  <c r="AY361" i="3"/>
  <c r="AY316" i="3"/>
  <c r="AY74" i="3"/>
  <c r="AY290" i="3"/>
  <c r="AY475" i="3"/>
  <c r="AY253" i="3"/>
  <c r="AY260" i="3"/>
  <c r="AY63" i="3"/>
  <c r="AY413" i="3"/>
  <c r="AY263" i="3"/>
  <c r="AY556" i="3"/>
  <c r="AY239" i="3"/>
  <c r="AY410" i="3"/>
  <c r="AY511" i="3"/>
  <c r="AY277" i="3"/>
  <c r="AY441" i="3"/>
  <c r="AY172" i="3"/>
  <c r="BG6" i="3"/>
  <c r="AY166" i="3"/>
  <c r="AY169" i="3"/>
  <c r="AY42" i="3"/>
  <c r="AY54" i="3"/>
  <c r="AY423" i="3"/>
  <c r="AY349" i="3"/>
  <c r="AY67" i="3"/>
  <c r="AY292" i="3"/>
  <c r="AY280" i="3"/>
  <c r="AY326" i="3"/>
  <c r="AY59" i="3"/>
  <c r="AY358" i="3"/>
  <c r="AY205" i="3"/>
  <c r="AY412" i="3"/>
  <c r="AY444" i="3"/>
  <c r="AY342" i="3"/>
  <c r="AY381" i="3"/>
  <c r="AY265" i="3"/>
  <c r="AY521" i="3"/>
  <c r="AY365" i="3"/>
  <c r="AY554" i="3"/>
  <c r="AY69" i="3"/>
  <c r="AY158" i="3"/>
  <c r="AY197" i="3"/>
  <c r="AY379" i="3"/>
  <c r="AY163" i="3"/>
  <c r="AY193" i="3"/>
  <c r="AY478" i="3"/>
  <c r="AY217" i="3"/>
  <c r="AY117" i="3"/>
  <c r="BP6" i="3"/>
  <c r="AY539" i="3"/>
  <c r="AY93" i="3"/>
  <c r="AY152" i="3"/>
  <c r="AY14" i="3"/>
  <c r="AY305" i="3"/>
  <c r="BS6" i="3"/>
  <c r="AY340" i="3"/>
  <c r="AY481" i="3"/>
  <c r="AY82" i="3"/>
  <c r="AY165" i="3"/>
  <c r="AY282" i="3"/>
  <c r="AY474" i="3"/>
  <c r="AY546" i="3"/>
  <c r="AY400" i="3"/>
  <c r="AY460" i="3"/>
  <c r="AY87" i="3"/>
  <c r="AY567" i="3"/>
  <c r="AY80" i="3"/>
  <c r="AY513" i="3"/>
  <c r="AY490" i="3"/>
  <c r="AY421" i="3"/>
  <c r="AY30" i="3"/>
  <c r="AY257" i="3"/>
  <c r="AY484" i="3"/>
  <c r="AY146" i="3"/>
  <c r="BA6" i="3"/>
  <c r="BN6" i="3"/>
  <c r="AY372" i="3"/>
  <c r="AY49" i="3"/>
  <c r="AY506" i="3"/>
  <c r="AY268" i="3"/>
  <c r="AY360" i="3"/>
  <c r="AY436" i="3"/>
  <c r="AY35" i="3"/>
  <c r="AY545" i="3"/>
  <c r="AY536" i="3"/>
  <c r="AY135" i="3"/>
  <c r="AY473" i="3"/>
  <c r="AY541" i="3"/>
  <c r="AY382" i="3"/>
  <c r="AY509" i="3"/>
  <c r="AY79" i="3"/>
  <c r="AY38" i="3"/>
  <c r="AY492" i="3"/>
  <c r="AY47" i="3"/>
  <c r="AY138" i="3"/>
  <c r="AY466" i="3"/>
  <c r="AY483" i="3"/>
  <c r="AY462" i="3"/>
  <c r="AY230" i="3"/>
  <c r="AY519" i="3"/>
  <c r="AY161" i="3"/>
  <c r="AY122" i="3"/>
  <c r="AY203" i="3"/>
  <c r="AY195" i="3"/>
  <c r="AY315" i="3"/>
  <c r="AY99" i="3"/>
  <c r="AY94" i="3"/>
  <c r="AY362" i="3"/>
  <c r="AY309" i="3"/>
  <c r="AY393" i="3"/>
  <c r="AY512" i="3"/>
  <c r="AY488" i="3"/>
  <c r="AY128" i="3"/>
  <c r="AY89" i="3"/>
  <c r="D3" i="6"/>
  <c r="AY427" i="3"/>
  <c r="AY561" i="3"/>
  <c r="AY105" i="3"/>
  <c r="AY321" i="3"/>
  <c r="AY467" i="3"/>
  <c r="AY19" i="3"/>
  <c r="AY212" i="3"/>
  <c r="AY65" i="3"/>
  <c r="AY256" i="3"/>
  <c r="AY523" i="3"/>
  <c r="AY248" i="3"/>
  <c r="AY440" i="3"/>
  <c r="AY225" i="3"/>
  <c r="AY489" i="3"/>
  <c r="AY140" i="3"/>
  <c r="AY530" i="3"/>
  <c r="AY237" i="3"/>
  <c r="AY547" i="3"/>
  <c r="AY39" i="3"/>
  <c r="AY508" i="3"/>
  <c r="AY139" i="3"/>
  <c r="AY266" i="3"/>
  <c r="AY274" i="3"/>
  <c r="AY542" i="3"/>
  <c r="AY92" i="3"/>
  <c r="AY269" i="3"/>
  <c r="AY190" i="3"/>
  <c r="AY307" i="3"/>
  <c r="AY127" i="3"/>
  <c r="AY234" i="3"/>
  <c r="AY129" i="3"/>
  <c r="AY322" i="3"/>
  <c r="AY494" i="3"/>
  <c r="AY420" i="3"/>
  <c r="AY317" i="3"/>
  <c r="AY435" i="3"/>
  <c r="AY341" i="3"/>
  <c r="AY468" i="3"/>
  <c r="AY267" i="3"/>
  <c r="AY318" i="3"/>
  <c r="BT6" i="3"/>
  <c r="AY308" i="3"/>
  <c r="AY457" i="3"/>
  <c r="AY324" i="3"/>
  <c r="AY191" i="3"/>
  <c r="AY262" i="3"/>
  <c r="AY147" i="3"/>
  <c r="AY137" i="3"/>
  <c r="AY53" i="3"/>
  <c r="AY336" i="3"/>
  <c r="AY387" i="3"/>
  <c r="AY323" i="3"/>
  <c r="AY215" i="3"/>
  <c r="AY15" i="3"/>
  <c r="AY390" i="3"/>
  <c r="AY524" i="3"/>
  <c r="AY227" i="3"/>
  <c r="AY75" i="3"/>
  <c r="AY23" i="3"/>
  <c r="AY288" i="3"/>
  <c r="AY551" i="3"/>
  <c r="AY386" i="3"/>
  <c r="AY334" i="3"/>
  <c r="AY102" i="3"/>
  <c r="AY366" i="3"/>
  <c r="AY313" i="3"/>
  <c r="AY220" i="3"/>
  <c r="AY241" i="3"/>
  <c r="AY311" i="3"/>
  <c r="AY415" i="3"/>
  <c r="AY432" i="3"/>
  <c r="AY194" i="3"/>
  <c r="AY120" i="3"/>
  <c r="AY100" i="3"/>
  <c r="AY557" i="3"/>
  <c r="BQ6" i="3"/>
  <c r="AY187" i="3"/>
  <c r="AY109" i="3"/>
  <c r="AY247" i="3"/>
  <c r="AY174" i="3"/>
  <c r="AY131" i="3"/>
  <c r="AY186" i="3"/>
  <c r="AY424" i="3"/>
  <c r="AY422" i="3"/>
  <c r="AY566" i="3"/>
  <c r="AA12" i="40"/>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AB12" i="39"/>
  <c r="AB12" i="40"/>
  <c r="E6" i="3"/>
  <c r="F17" i="11"/>
  <c r="C17" i="11" s="1"/>
  <c r="I65" i="40"/>
  <c r="H67" i="40"/>
  <c r="G72" i="39"/>
  <c r="H70" i="39"/>
  <c r="D6" i="59"/>
  <c r="C5" i="59"/>
  <c r="M28" i="46"/>
  <c r="N28" i="46"/>
  <c r="O28" i="46"/>
  <c r="P28" i="46"/>
  <c r="F11" i="71"/>
  <c r="M13" i="44"/>
  <c r="J12" i="44" s="1"/>
  <c r="J7" i="44" s="1"/>
  <c r="M11" i="71"/>
  <c r="J10" i="71" s="1"/>
  <c r="J5" i="71" s="1"/>
  <c r="F13" i="44"/>
  <c r="C12" i="44" s="1"/>
  <c r="C7" i="44" s="1"/>
  <c r="C40" i="44" s="1"/>
  <c r="M11" i="15"/>
  <c r="J10" i="15" s="1"/>
  <c r="J5" i="15" s="1"/>
  <c r="M11" i="70"/>
  <c r="J10" i="70" s="1"/>
  <c r="F11" i="15"/>
  <c r="F11" i="70"/>
  <c r="C52" i="70" s="1"/>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J18" i="15"/>
  <c r="E7" i="67"/>
  <c r="L52" i="44"/>
  <c r="W12" i="40" l="1"/>
  <c r="C19" i="11"/>
  <c r="C20" i="11" s="1"/>
  <c r="C21" i="11" s="1"/>
  <c r="C22" i="11" s="1"/>
  <c r="C23" i="11" s="1"/>
  <c r="B2" i="11" s="1"/>
  <c r="B4" i="11" s="1"/>
  <c r="C17" i="43"/>
  <c r="C18" i="43" s="1"/>
  <c r="C19" i="43" s="1"/>
  <c r="C25" i="43" s="1"/>
  <c r="C24" i="43" s="1"/>
  <c r="C47" i="70"/>
  <c r="C59" i="70" s="1"/>
  <c r="S12" i="39"/>
  <c r="C32" i="70"/>
  <c r="M20" i="6"/>
  <c r="I20" i="6" s="1"/>
  <c r="S20" i="6" s="1"/>
  <c r="S7" i="1"/>
  <c r="J5" i="70"/>
  <c r="J24" i="70" s="1"/>
  <c r="P6" i="1"/>
  <c r="O16" i="1"/>
  <c r="H24" i="6"/>
  <c r="H21" i="6"/>
  <c r="M19" i="6"/>
  <c r="K27" i="6"/>
  <c r="S6" i="1"/>
  <c r="D26" i="6"/>
  <c r="F45" i="9"/>
  <c r="D11" i="6"/>
  <c r="F46" i="9"/>
  <c r="E63" i="40"/>
  <c r="C22" i="4"/>
  <c r="E46" i="9"/>
  <c r="D23" i="6"/>
  <c r="D24" i="6"/>
  <c r="D21" i="6"/>
  <c r="D14" i="6"/>
  <c r="D8" i="6"/>
  <c r="K38" i="9"/>
  <c r="C14" i="66" s="1"/>
  <c r="B2" i="66" s="1"/>
  <c r="D9" i="6"/>
  <c r="D12" i="6"/>
  <c r="D5" i="6"/>
  <c r="E45" i="9"/>
  <c r="D10" i="6"/>
  <c r="D13" i="6"/>
  <c r="H26" i="6"/>
  <c r="D20" i="6"/>
  <c r="D28" i="6"/>
  <c r="D15" i="6"/>
  <c r="H25" i="6"/>
  <c r="D19" i="6"/>
  <c r="H22" i="6"/>
  <c r="H23" i="6"/>
  <c r="D6" i="6"/>
  <c r="D25" i="6"/>
  <c r="D29" i="6"/>
  <c r="D22" i="6"/>
  <c r="F24" i="71"/>
  <c r="C24" i="71" s="1"/>
  <c r="F21" i="43"/>
  <c r="C23" i="43" s="1"/>
  <c r="D21" i="43" s="1"/>
  <c r="F24" i="15"/>
  <c r="C24" i="15" s="1"/>
  <c r="F24" i="70"/>
  <c r="C24" i="70" s="1"/>
  <c r="F26" i="44"/>
  <c r="C26" i="44" s="1"/>
  <c r="C10" i="70"/>
  <c r="C5" i="70" s="1"/>
  <c r="C38" i="70" s="1"/>
  <c r="Q69" i="44"/>
  <c r="L58" i="44"/>
  <c r="L61" i="44" s="1"/>
  <c r="L47" i="44" s="1"/>
  <c r="C52" i="71"/>
  <c r="C47" i="71" s="1"/>
  <c r="C10" i="71"/>
  <c r="C5" i="71" s="1"/>
  <c r="C38" i="71" s="1"/>
  <c r="C10" i="15"/>
  <c r="C5" i="15" s="1"/>
  <c r="C38" i="15" s="1"/>
  <c r="C52" i="15"/>
  <c r="C47" i="15" s="1"/>
  <c r="J26" i="71"/>
  <c r="J29" i="71" s="1"/>
  <c r="J24" i="71"/>
  <c r="J65" i="40"/>
  <c r="I67" i="40"/>
  <c r="J28" i="44"/>
  <c r="J31" i="44" s="1"/>
  <c r="J26" i="44"/>
  <c r="D5" i="59"/>
  <c r="M20" i="46"/>
  <c r="I70" i="39"/>
  <c r="H72" i="39"/>
  <c r="E3" i="67"/>
  <c r="B2" i="46"/>
  <c r="C49" i="21"/>
  <c r="B3" i="21" s="1"/>
  <c r="B2" i="21" s="1"/>
  <c r="C48" i="21"/>
  <c r="I46" i="36"/>
  <c r="E52" i="21"/>
  <c r="F52" i="21" s="1"/>
  <c r="E53" i="21"/>
  <c r="F53" i="21" s="1"/>
  <c r="I53" i="21"/>
  <c r="J53" i="21" s="1"/>
  <c r="J26" i="15"/>
  <c r="J29" i="15" s="1"/>
  <c r="J24" i="15"/>
  <c r="C19" i="44"/>
  <c r="C17" i="70"/>
  <c r="C17" i="15"/>
  <c r="B7" i="67"/>
  <c r="H20" i="6" l="1"/>
  <c r="B3" i="11"/>
  <c r="B5" i="11"/>
  <c r="C60" i="70"/>
  <c r="C65" i="70"/>
  <c r="J26" i="70"/>
  <c r="J29" i="70" s="1"/>
  <c r="R21" i="6"/>
  <c r="R8" i="1" s="1"/>
  <c r="R24" i="6"/>
  <c r="C15" i="12"/>
  <c r="P16" i="1"/>
  <c r="C13" i="12" s="1"/>
  <c r="D30" i="6"/>
  <c r="S16" i="1"/>
  <c r="T6" i="1" s="1"/>
  <c r="C22" i="43"/>
  <c r="C21" i="43" s="1"/>
  <c r="C28" i="43" s="1"/>
  <c r="C30" i="43" s="1"/>
  <c r="C32" i="43" s="1"/>
  <c r="B2" i="43" s="1"/>
  <c r="B3" i="43" s="1"/>
  <c r="I19" i="6"/>
  <c r="M27" i="6"/>
  <c r="R25" i="6"/>
  <c r="J40" i="39"/>
  <c r="F40" i="39"/>
  <c r="H40" i="39"/>
  <c r="A20" i="51"/>
  <c r="B15" i="63" s="1"/>
  <c r="A6" i="64"/>
  <c r="A20" i="64"/>
  <c r="N5" i="54"/>
  <c r="B43" i="63" s="1"/>
  <c r="A6" i="51"/>
  <c r="B7" i="63" s="1"/>
  <c r="R22" i="6"/>
  <c r="D27" i="6"/>
  <c r="R26" i="6"/>
  <c r="D8" i="66"/>
  <c r="D7" i="66"/>
  <c r="D16" i="6"/>
  <c r="R23" i="6"/>
  <c r="R10" i="1" s="1"/>
  <c r="C23" i="71"/>
  <c r="C29" i="71" s="1"/>
  <c r="C56" i="71" s="1"/>
  <c r="C63" i="71" s="1"/>
  <c r="J70" i="39"/>
  <c r="I72" i="39"/>
  <c r="Q49" i="44"/>
  <c r="Q55" i="44" s="1"/>
  <c r="Q58" i="44"/>
  <c r="Q67" i="44"/>
  <c r="C59" i="15"/>
  <c r="C60" i="15"/>
  <c r="C65" i="15"/>
  <c r="C59" i="71"/>
  <c r="C65" i="71"/>
  <c r="C60" i="71"/>
  <c r="J67" i="40"/>
  <c r="K65" i="40"/>
  <c r="Q59" i="44"/>
  <c r="Q68" i="44"/>
  <c r="R20" i="6"/>
  <c r="B2" i="67"/>
  <c r="B4" i="67" s="1"/>
  <c r="D4" i="46"/>
  <c r="B4" i="46"/>
  <c r="B3" i="46"/>
  <c r="J46" i="36"/>
  <c r="C14" i="70"/>
  <c r="D31" i="6" l="1"/>
  <c r="I6" i="6" s="1"/>
  <c r="H13" i="39" s="1"/>
  <c r="U13" i="39" s="1"/>
  <c r="C14" i="12"/>
  <c r="C17" i="12"/>
  <c r="B5" i="43"/>
  <c r="B4" i="43"/>
  <c r="C18" i="70"/>
  <c r="C15" i="70"/>
  <c r="S19" i="6"/>
  <c r="S27" i="6" s="1"/>
  <c r="I27" i="6"/>
  <c r="H19" i="6"/>
  <c r="T8" i="1"/>
  <c r="T9" i="1"/>
  <c r="T11" i="1"/>
  <c r="T12" i="1"/>
  <c r="T7" i="1"/>
  <c r="T10" i="1"/>
  <c r="T13" i="1"/>
  <c r="AB40" i="39"/>
  <c r="U40" i="39"/>
  <c r="R9" i="1"/>
  <c r="S40" i="39"/>
  <c r="AA40" i="39"/>
  <c r="W40" i="39"/>
  <c r="AC40" i="39"/>
  <c r="C36" i="71"/>
  <c r="J19" i="71"/>
  <c r="J17" i="71" s="1"/>
  <c r="C13" i="71"/>
  <c r="C55" i="71" s="1"/>
  <c r="C64" i="71" s="1"/>
  <c r="Q50" i="71"/>
  <c r="J14" i="71"/>
  <c r="J22" i="71" s="1"/>
  <c r="C58" i="71"/>
  <c r="Q64" i="44"/>
  <c r="K67" i="40"/>
  <c r="L65" i="40"/>
  <c r="Q77" i="44"/>
  <c r="K70" i="39"/>
  <c r="J72" i="39"/>
  <c r="B3" i="67"/>
  <c r="R7" i="1"/>
  <c r="K46" i="36"/>
  <c r="L46" i="36" s="1"/>
  <c r="M46" i="36" s="1"/>
  <c r="N46" i="36" s="1"/>
  <c r="O46" i="36" s="1"/>
  <c r="F7" i="36"/>
  <c r="F35" i="15"/>
  <c r="C14" i="15"/>
  <c r="M21" i="15"/>
  <c r="M23" i="44"/>
  <c r="C16" i="44"/>
  <c r="F37" i="44"/>
  <c r="AB13" i="39" l="1"/>
  <c r="I5" i="6"/>
  <c r="F13" i="39"/>
  <c r="S13" i="39" s="1"/>
  <c r="J13" i="39"/>
  <c r="C15" i="15"/>
  <c r="C18" i="15"/>
  <c r="C19" i="70"/>
  <c r="C20" i="70" s="1"/>
  <c r="C26" i="70" s="1"/>
  <c r="C18" i="12"/>
  <c r="C23" i="12" s="1"/>
  <c r="C17" i="44"/>
  <c r="C20" i="44"/>
  <c r="R19" i="6"/>
  <c r="H27" i="6"/>
  <c r="T16" i="1"/>
  <c r="J22" i="44"/>
  <c r="C36" i="44"/>
  <c r="J13" i="71"/>
  <c r="J23" i="71" s="1"/>
  <c r="J16" i="71" s="1"/>
  <c r="J25" i="71" s="1"/>
  <c r="Q71" i="71"/>
  <c r="J35" i="71"/>
  <c r="C37" i="71"/>
  <c r="C30" i="71" s="1"/>
  <c r="C39" i="71" s="1"/>
  <c r="C57" i="71"/>
  <c r="C66" i="71" s="1"/>
  <c r="C67" i="71" s="1"/>
  <c r="C70" i="71" s="1"/>
  <c r="M65" i="40"/>
  <c r="L67" i="40"/>
  <c r="H7" i="36"/>
  <c r="U7" i="36" s="1"/>
  <c r="J7" i="36"/>
  <c r="AC7" i="36" s="1"/>
  <c r="V36" i="36" s="1"/>
  <c r="I36" i="36" s="1"/>
  <c r="L70" i="39"/>
  <c r="K72" i="39"/>
  <c r="J20" i="15"/>
  <c r="F62" i="15"/>
  <c r="C61" i="15" s="1"/>
  <c r="C58" i="15" s="1"/>
  <c r="C34" i="15"/>
  <c r="C31" i="15" s="1"/>
  <c r="S7" i="36"/>
  <c r="AA7" i="36"/>
  <c r="R36" i="36" s="1"/>
  <c r="L51" i="71"/>
  <c r="AA13" i="39" l="1"/>
  <c r="AC13" i="39"/>
  <c r="W13" i="39"/>
  <c r="C19" i="15"/>
  <c r="C20" i="15" s="1"/>
  <c r="C21" i="44"/>
  <c r="C22" i="44" s="1"/>
  <c r="C28" i="44" s="1"/>
  <c r="C23" i="70"/>
  <c r="C29" i="70" s="1"/>
  <c r="Q50" i="70" s="1"/>
  <c r="R6" i="1"/>
  <c r="R27" i="6"/>
  <c r="J39" i="71"/>
  <c r="J40" i="71" s="1"/>
  <c r="C40" i="71"/>
  <c r="Q48" i="71" s="1"/>
  <c r="Q54" i="71" s="1"/>
  <c r="Q70" i="71"/>
  <c r="Q69" i="71" s="1"/>
  <c r="Q68" i="71"/>
  <c r="AB7" i="36"/>
  <c r="T36" i="36" s="1"/>
  <c r="G36" i="36" s="1"/>
  <c r="G41" i="36" s="1"/>
  <c r="H41" i="36" s="1"/>
  <c r="W7" i="36"/>
  <c r="N65" i="40"/>
  <c r="N67" i="40" s="1"/>
  <c r="M67" i="40"/>
  <c r="L72" i="39"/>
  <c r="M70" i="39"/>
  <c r="I40" i="36"/>
  <c r="J40" i="36" s="1"/>
  <c r="R37" i="36"/>
  <c r="E36" i="36"/>
  <c r="M21" i="70"/>
  <c r="F35" i="70"/>
  <c r="G40" i="36" l="1"/>
  <c r="H40" i="36" s="1"/>
  <c r="C26" i="15"/>
  <c r="C23" i="15"/>
  <c r="J19" i="70"/>
  <c r="J14" i="70"/>
  <c r="J13" i="70" s="1"/>
  <c r="J23" i="70" s="1"/>
  <c r="C56" i="70"/>
  <c r="C63" i="70" s="1"/>
  <c r="C25" i="44"/>
  <c r="C31" i="44" s="1"/>
  <c r="C35" i="44" s="1"/>
  <c r="C33" i="44" s="1"/>
  <c r="C36" i="70"/>
  <c r="C13" i="70"/>
  <c r="J20" i="70"/>
  <c r="F62" i="70"/>
  <c r="C61" i="70" s="1"/>
  <c r="C58" i="70" s="1"/>
  <c r="C34" i="70"/>
  <c r="C31" i="70" s="1"/>
  <c r="R16" i="1"/>
  <c r="F9" i="40"/>
  <c r="AA9" i="40" s="1"/>
  <c r="R44" i="40" s="1"/>
  <c r="Q66" i="71"/>
  <c r="Q76" i="71" s="1"/>
  <c r="C46" i="71"/>
  <c r="C43" i="71"/>
  <c r="Q57" i="71"/>
  <c r="Q63" i="71" s="1"/>
  <c r="B2" i="71"/>
  <c r="B3" i="71" s="1"/>
  <c r="J42" i="71"/>
  <c r="J43" i="71" s="1"/>
  <c r="H9" i="40"/>
  <c r="J9" i="40"/>
  <c r="M72" i="39"/>
  <c r="N70" i="39"/>
  <c r="E41" i="36"/>
  <c r="F41" i="36" s="1"/>
  <c r="E40" i="36"/>
  <c r="F40" i="36" s="1"/>
  <c r="C36" i="36"/>
  <c r="C37" i="36"/>
  <c r="B3" i="36" s="1"/>
  <c r="B2" i="36" s="1"/>
  <c r="I41" i="36"/>
  <c r="J41" i="36" s="1"/>
  <c r="C29" i="15" l="1"/>
  <c r="J17" i="70"/>
  <c r="J22" i="70"/>
  <c r="C38" i="44"/>
  <c r="J16" i="44"/>
  <c r="J15" i="44" s="1"/>
  <c r="J25" i="44" s="1"/>
  <c r="Q51" i="44"/>
  <c r="J21" i="44"/>
  <c r="J19" i="44" s="1"/>
  <c r="C15" i="44"/>
  <c r="C43" i="44" s="1"/>
  <c r="Q71" i="70"/>
  <c r="C37" i="70"/>
  <c r="C30" i="70" s="1"/>
  <c r="C39" i="70" s="1"/>
  <c r="C55" i="70"/>
  <c r="C64" i="70" s="1"/>
  <c r="C57" i="70" s="1"/>
  <c r="C66" i="70" s="1"/>
  <c r="C67" i="70" s="1"/>
  <c r="C70" i="70" s="1"/>
  <c r="J35" i="70"/>
  <c r="S9" i="40"/>
  <c r="U9" i="40"/>
  <c r="AB9" i="40"/>
  <c r="T44" i="40" s="1"/>
  <c r="G44" i="40" s="1"/>
  <c r="W9" i="40"/>
  <c r="AC9" i="40"/>
  <c r="V44" i="40" s="1"/>
  <c r="I44" i="40" s="1"/>
  <c r="E44" i="40"/>
  <c r="R45" i="40"/>
  <c r="O70" i="39"/>
  <c r="O72" i="39" s="1"/>
  <c r="N72" i="39"/>
  <c r="D10" i="12"/>
  <c r="L51" i="70"/>
  <c r="J24" i="44" l="1"/>
  <c r="J18" i="44" s="1"/>
  <c r="J27" i="44" s="1"/>
  <c r="J16" i="70"/>
  <c r="J25" i="70" s="1"/>
  <c r="Q50" i="15"/>
  <c r="J19" i="15"/>
  <c r="J17" i="15" s="1"/>
  <c r="J14" i="15"/>
  <c r="C36" i="15"/>
  <c r="C56" i="15"/>
  <c r="C63" i="15" s="1"/>
  <c r="C13" i="15"/>
  <c r="C39" i="44"/>
  <c r="C32" i="44" s="1"/>
  <c r="C42" i="44" s="1"/>
  <c r="C44" i="44" s="1"/>
  <c r="C45" i="44" s="1"/>
  <c r="B2" i="44" s="1"/>
  <c r="Q72" i="44"/>
  <c r="Q68" i="70"/>
  <c r="C40" i="70"/>
  <c r="Q70" i="70"/>
  <c r="Q69" i="70" s="1"/>
  <c r="J39" i="70"/>
  <c r="J40" i="70" s="1"/>
  <c r="J9" i="39"/>
  <c r="H9" i="39"/>
  <c r="F9" i="39"/>
  <c r="C44" i="40"/>
  <c r="C45" i="40"/>
  <c r="I48" i="40"/>
  <c r="J48" i="40" s="1"/>
  <c r="I49" i="40"/>
  <c r="J49" i="40" s="1"/>
  <c r="E49" i="40"/>
  <c r="F49" i="40" s="1"/>
  <c r="E48" i="40"/>
  <c r="F48" i="40" s="1"/>
  <c r="G49" i="40"/>
  <c r="H49" i="40" s="1"/>
  <c r="G48" i="40"/>
  <c r="H48" i="40" s="1"/>
  <c r="C55" i="15" l="1"/>
  <c r="C64" i="15" s="1"/>
  <c r="J35" i="15"/>
  <c r="C37" i="15"/>
  <c r="C30" i="15" s="1"/>
  <c r="C39" i="15" s="1"/>
  <c r="Q71" i="15"/>
  <c r="C57" i="15"/>
  <c r="C66" i="15" s="1"/>
  <c r="C67" i="15" s="1"/>
  <c r="C70" i="15" s="1"/>
  <c r="J13" i="15"/>
  <c r="J23" i="15" s="1"/>
  <c r="J22" i="15"/>
  <c r="Q71" i="44"/>
  <c r="Q70" i="44" s="1"/>
  <c r="C46" i="70"/>
  <c r="C43" i="70"/>
  <c r="Q57" i="70"/>
  <c r="Q63" i="70" s="1"/>
  <c r="C10" i="12"/>
  <c r="B2" i="70"/>
  <c r="B3" i="70" s="1"/>
  <c r="J42" i="70"/>
  <c r="J43" i="70" s="1"/>
  <c r="Q48" i="70"/>
  <c r="Q54" i="70" s="1"/>
  <c r="Q66" i="70"/>
  <c r="Q76" i="70" s="1"/>
  <c r="B4" i="44"/>
  <c r="B5" i="44"/>
  <c r="B3" i="44"/>
  <c r="C6" i="12"/>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L51" i="15"/>
  <c r="J16" i="15" l="1"/>
  <c r="J25" i="15" s="1"/>
  <c r="Q68" i="15"/>
  <c r="Q70" i="15"/>
  <c r="Q69" i="15" s="1"/>
  <c r="C40" i="15"/>
  <c r="J39" i="15"/>
  <c r="J40" i="15" s="1"/>
  <c r="E18" i="69"/>
  <c r="E11" i="69" s="1"/>
  <c r="C8" i="12"/>
  <c r="C24" i="12"/>
  <c r="C29" i="12"/>
  <c r="E49" i="39"/>
  <c r="I54" i="39" s="1"/>
  <c r="J54" i="39" s="1"/>
  <c r="R50" i="39"/>
  <c r="G53" i="39"/>
  <c r="H53" i="39" s="1"/>
  <c r="G54" i="39"/>
  <c r="H54" i="39" s="1"/>
  <c r="B5" i="40"/>
  <c r="B4" i="40"/>
  <c r="B3" i="40"/>
  <c r="I53" i="39"/>
  <c r="J53" i="39" s="1"/>
  <c r="C43" i="15" l="1"/>
  <c r="Q48" i="15"/>
  <c r="Q54" i="15" s="1"/>
  <c r="B2" i="15"/>
  <c r="B3" i="15" s="1"/>
  <c r="J42" i="15"/>
  <c r="J43" i="15" s="1"/>
  <c r="Q57" i="15"/>
  <c r="Q63" i="15" s="1"/>
  <c r="Q66" i="15"/>
  <c r="Q76" i="15" s="1"/>
  <c r="C46" i="15"/>
  <c r="C28" i="12"/>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C19" i="9"/>
  <c r="D21" i="9"/>
  <c r="D20" i="9"/>
  <c r="B3" i="39" l="1"/>
  <c r="L43" i="9"/>
  <c r="D22" i="9"/>
  <c r="G19" i="9"/>
  <c r="B4" i="39"/>
  <c r="C21" i="9"/>
  <c r="C20" i="9"/>
  <c r="M16" i="12" l="1"/>
  <c r="G22" i="9"/>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22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22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<sst xmlns="http://schemas.openxmlformats.org/spreadsheetml/2006/main" count="24556" uniqueCount="3318">
  <si>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</si>
  <si>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</si>
  <si>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</si>
  <si>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</si>
  <si>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</si>
  <si>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</si>
  <si>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</si>
  <si>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</si>
  <si>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</si>
  <si>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</si>
  <si>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</si>
  <si>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</si>
  <si>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</si>
  <si>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</si>
  <si>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</si>
  <si>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</si>
  <si>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</si>
  <si>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</si>
  <si>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</si>
  <si>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</si>
  <si>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</si>
  <si>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</si>
  <si>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</si>
  <si>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</si>
  <si>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</si>
  <si>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</si>
  <si>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</si>
  <si>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</si>
  <si>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</si>
  <si>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</si>
  <si>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</si>
  <si>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</si>
  <si>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</si>
  <si>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</si>
  <si>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</si>
  <si>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</si>
  <si>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</si>
  <si>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</si>
  <si>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</si>
  <si>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</si>
  <si>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</si>
  <si>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</si>
  <si>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</si>
  <si>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</si>
  <si>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</si>
  <si>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</si>
  <si>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</si>
  <si>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</si>
  <si>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</si>
  <si>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</si>
  <si>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</si>
  <si>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</si>
  <si>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</si>
  <si>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</si>
  <si>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</si>
  <si>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</si>
  <si>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</si>
  <si>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</si>
  <si>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</si>
  <si>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</si>
  <si>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</si>
  <si>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</si>
  <si>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</si>
  <si>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</si>
  <si>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</si>
  <si>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</si>
  <si>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</si>
  <si>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</si>
  <si>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</si>
  <si>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</si>
  <si>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</si>
  <si>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</si>
  <si>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</si>
  <si>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</si>
  <si>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</si>
  <si>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</si>
  <si>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</si>
  <si>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</si>
  <si>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</si>
  <si>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</si>
  <si>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</si>
  <si>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</si>
  <si>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</si>
  <si>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</si>
  <si>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</si>
  <si>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</si>
  <si>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</si>
  <si>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</si>
  <si>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</si>
  <si>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</si>
  <si>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</si>
  <si>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</si>
  <si>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</si>
  <si>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</si>
  <si>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</si>
  <si>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</si>
  <si>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</si>
  <si>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</si>
  <si>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</si>
  <si>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</si>
  <si>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</si>
  <si>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</si>
  <si>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</si>
  <si>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</si>
  <si>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</si>
  <si>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</si>
  <si>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</si>
  <si>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</si>
  <si>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</si>
  <si>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</si>
  <si>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</si>
  <si>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</si>
  <si>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</si>
  <si>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</si>
  <si>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</si>
  <si>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</si>
  <si>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</si>
  <si>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</si>
  <si>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</si>
  <si>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</si>
  <si>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</si>
  <si>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</si>
  <si>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</si>
  <si>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</si>
  <si>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</si>
  <si>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</si>
  <si>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</si>
  <si>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</si>
  <si>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</si>
  <si>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</si>
  <si>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</si>
  <si>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</si>
  <si>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</si>
  <si>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</si>
  <si>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</si>
  <si>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</si>
  <si>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</si>
  <si>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</si>
  <si>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</si>
  <si>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</si>
  <si>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</si>
  <si>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</si>
  <si>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</si>
  <si>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</si>
  <si>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</si>
  <si>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</si>
  <si>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</si>
  <si>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</si>
  <si>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</si>
  <si>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</si>
  <si>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</si>
  <si>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</si>
  <si>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</si>
  <si>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</si>
  <si>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</si>
  <si>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</si>
  <si>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</si>
  <si>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</si>
  <si>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</si>
  <si>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</si>
  <si>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</si>
  <si>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</si>
  <si>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</si>
  <si>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</si>
  <si>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</si>
  <si>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</si>
  <si>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</si>
  <si>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</si>
  <si>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</si>
  <si>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</si>
  <si>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</si>
  <si>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</si>
  <si>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</si>
  <si>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</si>
  <si>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</si>
  <si>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</si>
  <si>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</si>
  <si>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</si>
  <si>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</si>
  <si>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</si>
  <si>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</si>
  <si>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</si>
  <si>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</si>
  <si>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</si>
  <si>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</si>
  <si>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</si>
  <si>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</si>
  <si>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</si>
  <si>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</si>
  <si>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</si>
  <si>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</si>
  <si>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</si>
  <si>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</si>
  <si>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</si>
  <si>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</si>
  <si>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</si>
  <si>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</si>
  <si>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</si>
  <si>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</si>
  <si>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</si>
  <si>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</si>
  <si>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</si>
  <si>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</si>
  <si>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</si>
  <si>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</si>
  <si>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</si>
  <si>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</si>
  <si>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</si>
  <si>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</si>
  <si>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</si>
  <si>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</si>
  <si>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</si>
  <si>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</si>
  <si>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</si>
  <si>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</si>
  <si>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</si>
  <si>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</si>
  <si>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</si>
  <si>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</si>
  <si>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</si>
  <si>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</si>
  <si>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</si>
  <si>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</si>
  <si>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</si>
  <si>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</si>
  <si>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</si>
  <si>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</si>
  <si>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</si>
  <si>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</si>
  <si>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</si>
  <si>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</si>
  <si>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</si>
  <si>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</si>
  <si>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</si>
  <si>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</si>
  <si>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</si>
  <si>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</si>
  <si>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</si>
  <si>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</si>
  <si>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</si>
  <si>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</si>
  <si>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</si>
  <si>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</si>
  <si>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</si>
  <si>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</si>
  <si>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</si>
  <si>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</si>
  <si>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</si>
  <si>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</si>
  <si>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</si>
  <si>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</si>
  <si>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</si>
  <si>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</si>
  <si>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</si>
  <si>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</si>
  <si>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</si>
  <si>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</si>
  <si>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</si>
  <si>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</si>
  <si>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</si>
  <si>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</si>
  <si>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</si>
  <si>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</si>
  <si>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</si>
  <si>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</si>
  <si>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</si>
  <si>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</si>
  <si>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</si>
  <si>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</si>
  <si>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</si>
  <si>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</si>
  <si>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</si>
  <si>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</si>
  <si>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</si>
  <si>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</si>
  <si>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</si>
  <si>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</si>
  <si>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</si>
  <si>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</si>
  <si>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</si>
  <si>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</si>
  <si>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</si>
  <si>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</si>
  <si>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</si>
  <si>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</si>
  <si>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</si>
  <si>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</si>
  <si>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</si>
  <si>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</si>
  <si>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</si>
  <si>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</si>
  <si>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</si>
  <si>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</si>
  <si>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</si>
  <si>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</si>
  <si>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</si>
  <si>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</si>
  <si>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</si>
  <si>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</si>
  <si>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</si>
  <si>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</si>
  <si>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</si>
  <si>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</si>
  <si>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</si>
  <si>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</si>
  <si>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</si>
  <si>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</si>
  <si>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</si>
  <si>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</si>
  <si>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</si>
  <si>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</si>
  <si>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</si>
  <si>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</si>
  <si>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</si>
  <si>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</si>
  <si>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</si>
  <si>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</si>
  <si>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</si>
  <si>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</si>
  <si>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</si>
  <si>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</si>
  <si>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</si>
  <si>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</si>
  <si>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</si>
  <si>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</si>
  <si>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</si>
  <si>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</si>
  <si>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</si>
  <si>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</si>
  <si>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</si>
  <si>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</si>
  <si>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</si>
  <si>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</si>
  <si>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</si>
  <si>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</si>
  <si>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</si>
  <si>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</si>
  <si>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</si>
  <si>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</si>
  <si>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</si>
  <si>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</si>
  <si>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</si>
  <si>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</si>
  <si>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</si>
  <si>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</si>
  <si>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</si>
  <si>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</si>
  <si>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</si>
  <si>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</si>
  <si>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</si>
  <si>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</si>
  <si>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</si>
  <si>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</si>
  <si>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</si>
  <si>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</si>
  <si>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</si>
  <si>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</si>
  <si>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</si>
  <si>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</si>
  <si>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</si>
  <si>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</si>
  <si>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</si>
  <si>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</si>
  <si>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</si>
  <si>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</si>
  <si>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</si>
  <si>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</si>
  <si>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</si>
  <si>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</si>
  <si>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</si>
  <si>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</si>
  <si>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</si>
  <si>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</si>
  <si>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</si>
  <si>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</si>
  <si>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</si>
  <si>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</si>
  <si>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</si>
  <si>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</si>
  <si>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</si>
  <si>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</si>
  <si>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</si>
  <si>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</si>
  <si>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</si>
  <si>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</si>
  <si>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</si>
  <si>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</si>
  <si>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</si>
  <si>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</si>
  <si>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</si>
  <si>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</si>
  <si>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</si>
  <si>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</si>
  <si>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</si>
  <si>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</si>
  <si>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</si>
  <si>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</si>
  <si>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</si>
  <si>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</si>
  <si>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</si>
  <si>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</si>
  <si>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</si>
  <si>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</si>
  <si>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</si>
  <si>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</si>
  <si>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</si>
  <si>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</si>
  <si>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</si>
  <si>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</si>
  <si>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</si>
  <si>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</si>
  <si>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</si>
  <si>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</si>
  <si>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</si>
  <si>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</si>
  <si>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</si>
  <si>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</si>
  <si>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</si>
  <si>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</si>
  <si>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</si>
  <si>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</si>
  <si>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</si>
  <si>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</si>
  <si>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</si>
  <si>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</si>
  <si>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</si>
  <si>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</si>
  <si>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</si>
  <si>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</si>
  <si>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</si>
  <si>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</si>
  <si>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</si>
  <si>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</si>
  <si>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</si>
  <si>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</si>
  <si>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</si>
  <si>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</si>
  <si>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</si>
  <si>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</si>
  <si>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</si>
  <si>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</si>
  <si>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</si>
  <si>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</si>
  <si>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</si>
  <si>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</si>
  <si>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</si>
  <si>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</si>
  <si>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</si>
  <si>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</si>
  <si>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</si>
  <si>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</si>
  <si>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</si>
  <si>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</si>
  <si>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</si>
  <si>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</si>
  <si>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</si>
  <si>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</si>
  <si>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</si>
  <si>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</si>
  <si>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</si>
  <si>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</si>
  <si>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</si>
  <si>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</si>
  <si>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</si>
  <si>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</si>
  <si>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</si>
  <si>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</si>
  <si>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</si>
  <si>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</si>
  <si>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</si>
  <si>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</si>
  <si>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</si>
  <si>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</si>
  <si>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</si>
  <si>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</si>
  <si>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</si>
  <si>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</si>
  <si>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</si>
  <si>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</si>
  <si>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</si>
  <si>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</si>
  <si>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</si>
  <si>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</si>
  <si>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</si>
  <si>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</si>
  <si>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</si>
  <si>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</si>
  <si>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</si>
  <si>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</si>
  <si>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</si>
  <si>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</si>
  <si>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</si>
  <si>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</si>
  <si>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</si>
  <si>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</si>
  <si>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</si>
  <si>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</si>
  <si>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</si>
  <si>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</si>
  <si>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</si>
  <si>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</si>
  <si>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</si>
  <si>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</si>
  <si>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</si>
  <si>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</si>
  <si>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</si>
  <si>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</si>
  <si>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</si>
  <si>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</si>
  <si>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</si>
  <si>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</si>
  <si>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</si>
  <si>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</si>
  <si>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</si>
  <si>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</si>
  <si>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</si>
  <si>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</si>
  <si>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</si>
  <si>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</si>
  <si>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</si>
  <si>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</si>
  <si>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</si>
  <si>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</si>
  <si>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</si>
  <si>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</si>
  <si>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</si>
  <si>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</si>
  <si>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</si>
  <si>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</si>
  <si>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</si>
  <si>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</si>
  <si>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</si>
  <si>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</si>
  <si>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</si>
  <si>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</si>
  <si>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</si>
  <si>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</si>
  <si>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</si>
  <si>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</si>
  <si>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</si>
  <si>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</si>
  <si>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</si>
  <si>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</si>
  <si>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</si>
  <si>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</si>
  <si>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</si>
  <si>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</si>
  <si>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</si>
  <si>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</si>
  <si>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</si>
  <si>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</si>
  <si>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</si>
  <si>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</si>
  <si>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</si>
  <si>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</si>
  <si>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</si>
  <si>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</si>
  <si>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</si>
  <si>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</si>
  <si>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</si>
  <si>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</si>
  <si>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</si>
  <si>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</si>
  <si>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</si>
  <si>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</si>
  <si>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</si>
  <si>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</si>
  <si>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</si>
  <si>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</si>
  <si>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</si>
  <si>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</si>
  <si>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</si>
  <si>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</si>
  <si>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</si>
  <si>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</si>
  <si>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</si>
  <si>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</si>
  <si>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</si>
  <si>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</si>
  <si>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</si>
  <si>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</si>
  <si>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</si>
  <si>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</si>
  <si>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</si>
  <si>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</si>
  <si>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</si>
  <si>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</si>
  <si>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</si>
  <si>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</si>
  <si>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</si>
  <si>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</si>
  <si>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</si>
  <si>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</si>
  <si>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</si>
  <si>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</si>
  <si>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</si>
  <si>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</si>
  <si>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</si>
  <si>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</si>
  <si>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</si>
  <si>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</si>
  <si>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</si>
  <si>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</si>
  <si>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</si>
  <si>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</si>
  <si>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</si>
  <si>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</si>
  <si>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</si>
  <si>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</si>
  <si>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</si>
  <si>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</si>
  <si>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</si>
  <si>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</si>
  <si>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</si>
  <si>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</si>
  <si>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</si>
  <si>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</si>
  <si>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</si>
  <si>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</si>
  <si>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</si>
  <si>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</si>
  <si>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</si>
  <si>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</si>
  <si>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</si>
  <si>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</si>
  <si>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</si>
  <si>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</si>
  <si>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</si>
  <si>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</si>
  <si>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</si>
  <si>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</si>
  <si>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</si>
  <si>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</si>
  <si>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</si>
  <si>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</si>
  <si>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</si>
  <si>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</si>
  <si>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</si>
  <si>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</si>
  <si>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</si>
  <si>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</si>
  <si>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</si>
  <si>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</si>
  <si>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</si>
  <si>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</si>
  <si>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</si>
  <si>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</si>
  <si>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</si>
  <si>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</si>
  <si>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</si>
  <si>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</si>
  <si>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</si>
  <si>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</si>
  <si>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</si>
  <si>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</si>
  <si>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</si>
  <si>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</si>
  <si>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</si>
  <si>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</si>
  <si>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</si>
  <si>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</si>
  <si>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</si>
  <si>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</si>
  <si>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</si>
  <si>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</si>
  <si>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</si>
  <si>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</si>
  <si>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</si>
  <si>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</si>
  <si>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</si>
  <si>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</si>
  <si>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</si>
  <si>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</si>
  <si>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</si>
  <si>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</si>
  <si>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</si>
  <si>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</si>
  <si>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</si>
  <si>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</si>
  <si>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</si>
  <si>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</si>
  <si>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</si>
  <si>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</si>
  <si>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</si>
  <si>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</si>
  <si>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</si>
  <si>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</si>
  <si>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</si>
  <si>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</si>
  <si>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</si>
  <si>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</si>
  <si>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</si>
  <si>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</si>
  <si>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</si>
  <si>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</si>
  <si>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</si>
  <si>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</si>
  <si>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</si>
  <si>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</si>
  <si>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</si>
  <si>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</si>
  <si>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</si>
  <si>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</si>
  <si>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</si>
  <si>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</si>
  <si>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</si>
  <si>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</si>
  <si>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</si>
  <si>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</si>
  <si>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</si>
  <si>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</si>
  <si>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</si>
  <si>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</si>
  <si>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</si>
  <si>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</si>
  <si>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</si>
  <si>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</si>
  <si>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</si>
  <si>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</si>
  <si>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</si>
  <si>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</si>
  <si>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</si>
  <si>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</si>
  <si>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</si>
  <si>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</si>
  <si>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</si>
  <si>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</si>
  <si>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</si>
  <si>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</si>
  <si>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</si>
  <si>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</si>
  <si>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</si>
  <si>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</si>
  <si>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</si>
  <si>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</si>
  <si>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</si>
  <si>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</si>
  <si>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</si>
  <si>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</si>
  <si>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</si>
  <si>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</si>
  <si>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</si>
  <si>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</si>
  <si>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</si>
  <si>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</si>
  <si>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</si>
  <si>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</si>
  <si>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</si>
  <si>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</si>
  <si>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</si>
  <si>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</si>
  <si>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</si>
  <si>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</si>
  <si>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</si>
  <si>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</si>
  <si>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</si>
  <si>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</si>
  <si>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</si>
  <si>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</si>
  <si>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</si>
  <si>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</si>
  <si>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</si>
  <si>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</si>
  <si>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</si>
  <si>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</si>
  <si>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</si>
  <si>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</si>
  <si>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</si>
  <si>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</si>
  <si>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</si>
  <si>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</si>
  <si>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</si>
  <si>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</si>
  <si>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</si>
  <si>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</si>
  <si>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</si>
  <si>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</si>
  <si>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</si>
  <si>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</si>
  <si>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</si>
  <si>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</si>
  <si>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</si>
  <si>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</si>
  <si>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</si>
  <si>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</si>
  <si>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</si>
  <si>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</si>
  <si>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</si>
  <si>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</si>
  <si>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</si>
  <si>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</si>
  <si>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</si>
  <si>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</si>
  <si>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</si>
  <si>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</si>
  <si>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</si>
  <si>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</si>
  <si>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</si>
  <si>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</si>
  <si>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</si>
  <si>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</si>
  <si>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</si>
  <si>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</si>
  <si>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</si>
  <si>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</si>
  <si>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</si>
  <si>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</si>
  <si>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</si>
  <si>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</si>
  <si>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</si>
  <si>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</si>
  <si>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</si>
  <si>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</si>
  <si>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</si>
  <si>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</si>
  <si>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</si>
  <si>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</si>
  <si>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</si>
  <si>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</si>
  <si>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</si>
  <si>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</si>
  <si>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</si>
  <si>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</si>
  <si>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</si>
  <si>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</si>
  <si>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</si>
  <si>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</si>
  <si>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</si>
  <si>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</si>
  <si>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</si>
  <si>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</si>
  <si>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</si>
  <si>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</si>
  <si>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</si>
  <si>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</si>
  <si>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</si>
  <si>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</si>
  <si>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</si>
  <si>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</si>
  <si>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</si>
  <si>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</si>
  <si>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</si>
  <si>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</si>
  <si>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</si>
  <si>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</si>
  <si>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</si>
  <si>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</si>
  <si>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</si>
  <si>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</si>
  <si>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</si>
  <si>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</si>
  <si>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</si>
  <si>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</si>
  <si>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</si>
  <si>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</si>
  <si>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</si>
  <si>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</si>
  <si>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</si>
  <si>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</si>
  <si>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</si>
  <si>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</si>
  <si>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</si>
  <si>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</si>
  <si>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</si>
  <si>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</si>
  <si>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</si>
  <si>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</si>
  <si>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</si>
  <si>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</si>
  <si>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</si>
  <si>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</si>
  <si>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</si>
  <si>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</si>
  <si>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</si>
  <si>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</si>
  <si>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</si>
  <si>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</si>
  <si>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</si>
  <si>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</si>
  <si>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</si>
  <si>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</si>
  <si>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</si>
  <si>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</si>
  <si>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</si>
  <si>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</si>
  <si>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</si>
  <si>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</si>
  <si>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</si>
  <si>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</si>
  <si>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</si>
  <si>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</si>
  <si>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</si>
  <si>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</si>
  <si>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</si>
  <si>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</si>
  <si>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</si>
  <si>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</si>
  <si>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</si>
  <si>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</si>
  <si>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</si>
  <si>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</si>
  <si>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</si>
  <si>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</si>
  <si>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</si>
  <si>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</si>
  <si>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</si>
  <si>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</si>
  <si>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</si>
  <si>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</si>
  <si>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</si>
  <si>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</si>
  <si>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</si>
  <si>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</si>
  <si>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</si>
  <si>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</si>
  <si>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</si>
  <si>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</si>
  <si>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</si>
  <si>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</si>
  <si>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</si>
  <si>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</si>
  <si>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</si>
  <si>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</si>
  <si>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</si>
  <si>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</si>
  <si>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</si>
  <si>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</si>
  <si>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</si>
  <si>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</si>
  <si>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</si>
  <si>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</si>
  <si>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</si>
  <si>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</si>
  <si>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</si>
  <si>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</si>
  <si>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</si>
  <si>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</si>
  <si>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</si>
  <si>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</si>
  <si>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</si>
  <si>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</si>
  <si>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</si>
  <si>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</si>
  <si>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</si>
  <si>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</si>
  <si>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</si>
  <si>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</si>
  <si>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</si>
  <si>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</si>
  <si>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</si>
  <si>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</si>
  <si>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</si>
  <si>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</si>
  <si>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</si>
  <si>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</si>
  <si>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</si>
  <si>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</si>
  <si>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</si>
  <si>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</si>
  <si>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</si>
  <si>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</si>
  <si>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</si>
  <si>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</si>
  <si>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</si>
  <si>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</si>
  <si>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</si>
  <si>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</si>
  <si>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</si>
  <si>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</si>
  <si>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</si>
  <si>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</si>
  <si>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</si>
  <si>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</si>
  <si>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</si>
  <si>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</si>
  <si>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</si>
  <si>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</si>
  <si>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</si>
  <si>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</si>
  <si>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</si>
  <si>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</si>
  <si>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</si>
  <si>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</si>
  <si>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</si>
  <si>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</si>
  <si>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</si>
  <si>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</si>
  <si>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</si>
  <si>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</si>
  <si>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</si>
  <si>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</si>
  <si>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</si>
  <si>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</si>
  <si>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</si>
  <si>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</si>
  <si>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</si>
  <si>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</si>
  <si>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</si>
  <si>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</si>
  <si>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</si>
  <si>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</si>
  <si>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</si>
  <si>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</si>
  <si>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</si>
  <si>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</si>
  <si>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</si>
  <si>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</si>
  <si>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</si>
  <si>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</si>
  <si>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</si>
  <si>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</si>
  <si>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</si>
  <si>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</si>
  <si>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</si>
  <si>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</si>
  <si>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</si>
  <si>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</si>
  <si>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</si>
  <si>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</si>
  <si>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</si>
  <si>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</si>
  <si>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</si>
  <si>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</si>
  <si>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</si>
  <si>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</si>
  <si>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</si>
  <si>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</si>
  <si>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</si>
  <si>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</si>
  <si>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</si>
  <si>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</si>
  <si>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</si>
  <si>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</si>
  <si>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</si>
  <si>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</si>
  <si>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</si>
  <si>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</si>
  <si>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</si>
  <si>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</si>
  <si>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</si>
  <si>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</si>
  <si>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</si>
  <si>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</si>
  <si>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</si>
  <si>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</si>
  <si>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</si>
  <si>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</si>
  <si>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</si>
  <si>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</si>
  <si>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</si>
  <si>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</si>
  <si>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</si>
  <si>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</si>
  <si>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</si>
  <si>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</si>
  <si>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</si>
  <si>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</si>
  <si>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</si>
  <si>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</si>
  <si>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</si>
  <si>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</si>
  <si>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</si>
  <si>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</si>
  <si>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</si>
  <si>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</si>
  <si>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</si>
  <si>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</si>
  <si>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</si>
  <si>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</si>
  <si>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</si>
  <si>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</si>
  <si>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</si>
  <si>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</si>
  <si>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</si>
  <si>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</si>
  <si>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</si>
  <si>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</si>
  <si>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</si>
  <si>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</si>
  <si>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</si>
  <si>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</si>
  <si>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</si>
  <si>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</si>
  <si>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</si>
  <si>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</si>
  <si>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</si>
  <si>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</si>
  <si>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</si>
  <si>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</si>
  <si>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</si>
  <si>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</si>
  <si>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</si>
  <si>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</si>
  <si>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</si>
  <si>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</si>
  <si>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</si>
  <si>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</si>
  <si>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</si>
  <si>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</si>
  <si>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</si>
  <si>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</si>
  <si>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</si>
  <si>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</si>
  <si>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</si>
  <si>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</si>
  <si>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</si>
  <si>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</si>
  <si>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</si>
  <si>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</si>
  <si>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</si>
  <si>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</si>
  <si>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</si>
  <si>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</si>
  <si>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</si>
  <si>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</si>
  <si>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</si>
  <si>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</si>
  <si>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</si>
  <si>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</si>
  <si>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</si>
  <si>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</si>
  <si>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</si>
  <si>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</si>
  <si>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</si>
  <si>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</si>
  <si>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</si>
  <si>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</si>
  <si>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</si>
  <si>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</si>
  <si>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</si>
  <si>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</si>
  <si>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</si>
  <si>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</si>
  <si>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</si>
  <si>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</si>
  <si>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</si>
  <si>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</si>
  <si>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</si>
  <si>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</si>
  <si>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</si>
  <si>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</si>
  <si>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</si>
  <si>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</si>
  <si>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</si>
  <si>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</si>
  <si>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</si>
  <si>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</si>
  <si>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</si>
  <si>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</si>
  <si>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</si>
  <si>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</si>
  <si>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</si>
  <si>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</si>
  <si>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</si>
  <si>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</si>
  <si>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</si>
  <si>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</si>
  <si>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</si>
  <si>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</si>
  <si>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</si>
  <si>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</si>
  <si>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</si>
  <si>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</si>
  <si>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</si>
  <si>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</si>
  <si>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</si>
  <si>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</si>
  <si>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</si>
  <si>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</si>
  <si>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</si>
  <si>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</si>
  <si>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</si>
  <si>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</si>
  <si>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</si>
  <si>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</si>
  <si>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</si>
  <si>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</si>
  <si>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</si>
  <si>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</si>
  <si>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</si>
  <si>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</si>
  <si>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</si>
  <si>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</si>
  <si>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</si>
  <si>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</si>
  <si>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</si>
  <si>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</si>
  <si>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</si>
  <si>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</si>
  <si>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</si>
  <si>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</si>
  <si>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</si>
  <si>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</si>
  <si>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</si>
  <si>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</si>
  <si>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</si>
  <si>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</si>
  <si>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</si>
  <si>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</si>
  <si>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</si>
  <si>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</si>
  <si>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</si>
  <si>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</si>
  <si>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</si>
  <si>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</si>
  <si>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</si>
  <si>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</si>
  <si>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</si>
  <si>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</si>
  <si>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</si>
  <si>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</si>
  <si>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</si>
  <si>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</si>
  <si>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</si>
  <si>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</si>
  <si>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</si>
  <si>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</si>
  <si>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</si>
  <si>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</si>
  <si>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</si>
  <si>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</si>
  <si>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</si>
  <si>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</si>
  <si>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</si>
  <si>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</si>
  <si>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</si>
  <si>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</si>
  <si>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</si>
  <si>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</si>
  <si>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</si>
  <si>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</si>
  <si>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</si>
  <si>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</si>
  <si>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</si>
  <si>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</si>
  <si>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</si>
  <si>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</si>
  <si>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</si>
  <si>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</si>
  <si>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</si>
  <si>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</si>
  <si>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</si>
  <si>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</si>
  <si>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</si>
  <si>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</si>
  <si>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</si>
  <si>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</si>
  <si>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</si>
  <si>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</si>
  <si>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</si>
  <si>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</si>
  <si>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</si>
  <si>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</si>
  <si>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</si>
  <si>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</si>
  <si>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</si>
  <si>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</si>
  <si>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</si>
  <si>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</si>
  <si>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</si>
  <si>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</si>
  <si>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</si>
  <si>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</si>
  <si>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</si>
  <si>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</si>
  <si>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</si>
  <si>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</si>
  <si>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</si>
  <si>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</si>
  <si>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</si>
  <si>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</si>
  <si>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</si>
  <si>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</si>
  <si>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</si>
  <si>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</si>
  <si>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</si>
  <si>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</si>
  <si>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</si>
  <si>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</si>
  <si>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</si>
  <si>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</si>
  <si>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</si>
  <si>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</si>
  <si>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</si>
  <si>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</si>
  <si>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</si>
  <si>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</si>
  <si>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</si>
  <si>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</si>
  <si>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</si>
  <si>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</si>
  <si>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</si>
  <si>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</si>
  <si>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</si>
  <si>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</si>
  <si>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</si>
  <si>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</si>
  <si>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</si>
  <si>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</si>
  <si>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</si>
  <si>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</si>
  <si>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</si>
  <si>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</si>
  <si>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</si>
  <si>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</si>
  <si>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</si>
  <si>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</si>
  <si>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</si>
  <si>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</si>
  <si>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</si>
  <si>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</si>
  <si>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</si>
  <si>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</si>
  <si>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</si>
  <si>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</si>
  <si>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</si>
  <si>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</si>
  <si>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</si>
  <si>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</si>
  <si>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</si>
  <si>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</si>
  <si>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</si>
  <si>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</si>
  <si>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</si>
  <si>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</si>
  <si>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</si>
  <si>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</si>
  <si>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</si>
  <si>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</si>
  <si>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</si>
  <si>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</si>
  <si>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</si>
  <si>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</si>
  <si>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</si>
  <si>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</si>
  <si>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</si>
  <si>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</si>
  <si>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</si>
  <si>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</si>
  <si>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</si>
  <si>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</si>
  <si>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</si>
  <si>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</si>
  <si>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</si>
  <si>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</si>
  <si>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</si>
  <si>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</si>
  <si>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</si>
  <si>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</si>
  <si>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</si>
  <si>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</si>
  <si>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</si>
  <si>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</si>
  <si>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</si>
  <si>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</si>
  <si>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</si>
  <si>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</si>
  <si>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</si>
  <si>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</si>
  <si>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</si>
  <si>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</si>
  <si>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</si>
  <si>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</si>
  <si>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</si>
  <si>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</si>
  <si>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</si>
  <si>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</si>
  <si>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</si>
  <si>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</si>
  <si>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</si>
  <si>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</si>
  <si>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</si>
  <si>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</si>
  <si>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</si>
  <si>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</si>
  <si>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</si>
  <si>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</si>
  <si>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</si>
  <si>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</si>
  <si>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</si>
  <si>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</si>
  <si>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</si>
  <si>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</si>
  <si>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</si>
  <si>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</si>
  <si>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</si>
  <si>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</si>
  <si>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</si>
  <si>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</si>
  <si>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</si>
  <si>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</si>
  <si>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</si>
  <si>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</si>
  <si>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</si>
  <si>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</si>
  <si>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</si>
  <si>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</si>
  <si>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</si>
  <si>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</si>
  <si>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</si>
  <si>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</si>
  <si>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</si>
  <si>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</si>
  <si>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</si>
  <si>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</si>
  <si>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</si>
  <si>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</si>
  <si>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</si>
  <si>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</si>
  <si>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</si>
  <si>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</si>
  <si>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</si>
  <si>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</si>
  <si>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</si>
  <si>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</si>
  <si>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</si>
  <si>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</si>
  <si>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</si>
  <si>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</si>
  <si>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</si>
  <si>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</si>
  <si>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</si>
  <si>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</si>
  <si>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</si>
  <si>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</si>
  <si>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</si>
  <si>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</si>
  <si>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</si>
  <si>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</si>
  <si>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</si>
  <si>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</si>
  <si>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</si>
  <si>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</si>
  <si>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</si>
  <si>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</si>
  <si>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</si>
  <si>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</si>
  <si>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</si>
  <si>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</si>
  <si>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</si>
  <si>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</si>
  <si>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</si>
  <si>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</si>
  <si>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</si>
  <si>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</si>
  <si>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</si>
  <si>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</si>
  <si>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</si>
  <si>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</si>
  <si>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</si>
  <si>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</si>
  <si>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</si>
  <si>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</si>
  <si>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</si>
  <si>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</si>
  <si>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</si>
  <si>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</si>
  <si>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</si>
  <si>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</si>
  <si>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</si>
  <si>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</si>
  <si>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</si>
  <si>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</si>
  <si>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</si>
  <si>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</si>
  <si>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</si>
  <si>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</si>
  <si>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</si>
  <si>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</si>
  <si>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</si>
  <si>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</si>
  <si>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</si>
  <si>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</si>
  <si>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</si>
  <si>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</si>
  <si>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</si>
  <si>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</si>
  <si>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</si>
  <si>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</si>
  <si>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</si>
  <si>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</si>
  <si>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</si>
  <si>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</si>
  <si>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</si>
  <si>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</si>
  <si>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</si>
  <si>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</si>
  <si>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</si>
  <si>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</si>
  <si>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</si>
  <si>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</si>
  <si>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</si>
  <si>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</si>
  <si>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</si>
  <si>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</si>
  <si>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</si>
  <si>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</si>
  <si>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</si>
  <si>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</si>
  <si>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</si>
  <si>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</si>
  <si>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</si>
  <si>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</si>
  <si>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</si>
  <si>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</si>
  <si>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</si>
  <si>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</si>
  <si>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</si>
  <si>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</si>
  <si>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</si>
  <si>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</si>
  <si>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</si>
  <si>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</si>
  <si>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</si>
  <si>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</si>
  <si>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</si>
  <si>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</si>
  <si>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</si>
  <si>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</si>
  <si>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</si>
  <si>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</si>
  <si>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</si>
  <si>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</si>
  <si>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</si>
  <si>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</si>
  <si>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</si>
  <si>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</si>
  <si>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</si>
  <si>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</si>
  <si>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</si>
  <si>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</si>
  <si>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</si>
  <si>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</si>
  <si>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</si>
  <si>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</si>
  <si>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</si>
  <si>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</si>
  <si>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</si>
  <si>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</si>
  <si>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</si>
  <si>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</si>
  <si>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</si>
  <si>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</si>
  <si>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</si>
  <si>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</si>
  <si>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</si>
  <si>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</si>
  <si>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</si>
  <si>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</si>
  <si>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</si>
  <si>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</si>
  <si>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</si>
  <si>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</si>
  <si>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</si>
  <si>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</si>
  <si>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</si>
  <si>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</si>
  <si>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</si>
  <si>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</si>
  <si>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</si>
  <si>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</si>
  <si>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</si>
  <si>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</si>
  <si>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</si>
  <si>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</si>
  <si>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</si>
  <si>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</si>
  <si>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</si>
  <si>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</si>
  <si>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</si>
  <si>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</si>
  <si>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</si>
  <si>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</si>
  <si>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</si>
  <si>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</si>
  <si>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</si>
  <si>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</si>
  <si>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</si>
  <si>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</si>
  <si>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</si>
  <si>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</si>
  <si>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</si>
  <si>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</si>
  <si>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</si>
  <si>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</si>
  <si>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</si>
  <si>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</si>
  <si>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</si>
  <si>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</si>
  <si>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</si>
  <si>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</si>
  <si>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</si>
  <si>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</si>
  <si>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</si>
  <si>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</si>
  <si>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</si>
  <si>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</si>
  <si>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</si>
  <si>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</si>
  <si>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</si>
  <si>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</si>
  <si>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</si>
  <si>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</si>
  <si>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</si>
  <si>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</si>
  <si>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</si>
  <si>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</si>
  <si>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</si>
  <si>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</si>
  <si>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</si>
  <si>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</si>
  <si>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</si>
  <si>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</si>
  <si>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</si>
  <si>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</si>
  <si>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</si>
  <si>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</si>
  <si>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</si>
  <si>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</si>
  <si>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</si>
  <si>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</si>
  <si>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</si>
  <si>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</si>
  <si>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</si>
  <si>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</si>
  <si>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</si>
  <si>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</si>
  <si>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</si>
  <si>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</si>
  <si>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</si>
  <si>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</si>
  <si>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</si>
  <si>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</si>
  <si>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</si>
  <si>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</si>
  <si>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</si>
  <si>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</si>
  <si>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</si>
  <si>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</si>
  <si>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</si>
  <si>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</si>
  <si>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</si>
  <si>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</si>
  <si>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</si>
  <si>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</si>
  <si>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</si>
  <si>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</si>
  <si>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</si>
  <si>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</si>
  <si>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</si>
  <si>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</si>
  <si>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</si>
  <si>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</si>
  <si>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</si>
  <si>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</si>
  <si>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</si>
  <si>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</si>
  <si>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</si>
  <si>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</si>
  <si>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</si>
  <si>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</si>
  <si>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</si>
  <si>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</si>
  <si>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</si>
  <si>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</si>
  <si>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</si>
  <si>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</si>
  <si>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</si>
  <si>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</si>
  <si>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</si>
  <si>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</si>
  <si>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</si>
  <si>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</si>
  <si>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</si>
  <si>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</si>
  <si>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</si>
  <si>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</si>
  <si>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</si>
  <si>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</si>
  <si>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</si>
  <si>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</si>
  <si>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</si>
  <si>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</si>
  <si>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</si>
  <si>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</si>
  <si>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</si>
  <si>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</si>
  <si>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</si>
  <si>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</si>
  <si>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</si>
  <si>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</si>
  <si>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</si>
  <si>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</si>
  <si>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</si>
  <si>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</si>
  <si>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</si>
  <si>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</si>
  <si>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</si>
  <si>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</si>
  <si>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</si>
  <si>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</si>
  <si>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</si>
  <si>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</si>
  <si>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</si>
  <si>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</si>
  <si>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</si>
  <si>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</si>
  <si>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</si>
  <si>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</si>
  <si>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</si>
  <si>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</si>
  <si>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</si>
  <si>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</si>
  <si>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</si>
  <si>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</si>
  <si>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</si>
  <si>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</si>
  <si>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</si>
  <si>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</si>
  <si>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</si>
  <si>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</si>
  <si>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</si>
  <si>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</si>
  <si>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</si>
  <si>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</si>
  <si>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</si>
  <si>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</si>
  <si>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</si>
  <si>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</si>
  <si>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</si>
  <si>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</si>
  <si>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</si>
  <si>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</si>
  <si>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</si>
  <si>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</si>
  <si>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</si>
  <si>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</si>
  <si>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</si>
  <si>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</si>
  <si>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</si>
  <si>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</si>
  <si>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</si>
  <si>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</si>
  <si>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</si>
  <si>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</si>
  <si>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</si>
  <si>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</si>
  <si>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</si>
  <si>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</si>
  <si>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</si>
  <si>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</si>
  <si>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</si>
  <si>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</si>
  <si>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</si>
  <si>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</si>
  <si>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</si>
  <si>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</si>
  <si>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</si>
  <si>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</si>
  <si>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</si>
  <si>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</si>
  <si>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</si>
  <si>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</si>
  <si>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</si>
  <si>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</si>
  <si>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</si>
  <si>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</si>
  <si>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</si>
  <si>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</si>
  <si>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</si>
  <si>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</si>
  <si>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</si>
  <si>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</si>
  <si>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</si>
  <si>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</si>
  <si>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</si>
  <si>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</si>
  <si>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</si>
  <si>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</si>
  <si>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</si>
  <si>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</si>
  <si>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</si>
  <si>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</si>
  <si>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</si>
  <si>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</si>
  <si>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</si>
  <si>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</si>
  <si>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</si>
  <si>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</si>
  <si>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</si>
  <si>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</si>
  <si>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</si>
  <si>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</si>
  <si>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</si>
  <si>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</si>
  <si>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</si>
  <si>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</si>
  <si>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</si>
  <si>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</si>
  <si>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</si>
  <si>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</si>
  <si>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</si>
  <si>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</si>
  <si>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</si>
  <si>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</si>
  <si>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</si>
  <si>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</si>
  <si>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</si>
  <si>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</si>
  <si>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</si>
  <si>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</si>
  <si>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</si>
  <si>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</si>
  <si>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</si>
  <si>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</si>
  <si>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</si>
  <si>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</si>
  <si>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</si>
  <si>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</si>
  <si>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</si>
  <si>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</si>
  <si>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</si>
  <si>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</si>
  <si>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</si>
  <si>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</si>
  <si>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</si>
  <si>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</si>
  <si>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</si>
  <si>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</si>
  <si>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</si>
  <si>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</si>
  <si>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</si>
  <si>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</si>
  <si>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</si>
  <si>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</si>
  <si>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</si>
  <si>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</si>
  <si>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</si>
  <si>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</si>
  <si>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</si>
  <si>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</si>
  <si>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</si>
  <si>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</si>
  <si>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</si>
  <si>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</si>
  <si>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</si>
  <si>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</si>
  <si>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</si>
  <si>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</si>
  <si>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</si>
  <si>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</si>
  <si>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</si>
  <si>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</si>
  <si>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</si>
  <si>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</si>
  <si>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</si>
  <si>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</si>
  <si>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</si>
  <si>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</si>
  <si>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</si>
  <si>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</si>
  <si>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</si>
  <si>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</si>
  <si>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</si>
  <si>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</si>
  <si>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</si>
  <si>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</si>
  <si>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</si>
  <si>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</si>
  <si>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</si>
  <si>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</si>
  <si>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</si>
  <si>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</si>
  <si>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</si>
  <si>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</si>
  <si>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</si>
  <si>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</si>
  <si>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</si>
  <si>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</si>
  <si>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</si>
  <si>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</si>
  <si>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</si>
  <si>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</si>
  <si>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</si>
  <si>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</si>
  <si>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</si>
  <si>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</si>
  <si>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</si>
  <si>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</si>
  <si>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</si>
  <si>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</si>
  <si>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</si>
  <si>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</si>
  <si>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</si>
  <si>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</si>
  <si>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</si>
  <si>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</si>
  <si>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</si>
  <si>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</si>
  <si>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</si>
  <si>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</si>
  <si>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</si>
  <si>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</si>
  <si>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</si>
  <si>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</si>
  <si>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</si>
  <si>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</si>
  <si>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</si>
  <si>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</si>
  <si>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</si>
  <si>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</si>
  <si>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</si>
  <si>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</si>
  <si>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</si>
  <si>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</si>
  <si>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</si>
  <si>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</si>
  <si>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</si>
  <si>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</si>
  <si>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</si>
  <si>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</si>
  <si>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</si>
  <si>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</si>
  <si>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</si>
  <si>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</si>
  <si>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</si>
  <si>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</si>
  <si>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</si>
  <si>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</si>
  <si>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</si>
  <si>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</si>
  <si>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</si>
  <si>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</si>
  <si>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</si>
  <si>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</si>
  <si>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</si>
  <si>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</si>
  <si>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</si>
  <si>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</si>
  <si>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</si>
  <si>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</si>
  <si>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</si>
  <si>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</si>
  <si>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</si>
  <si>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</si>
  <si>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</si>
  <si>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</si>
  <si>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</si>
  <si>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</si>
  <si>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</si>
  <si>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</si>
  <si>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</si>
  <si>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</si>
  <si>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</si>
  <si>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</si>
  <si>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</si>
  <si>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</si>
  <si>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</si>
  <si>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</si>
  <si>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</si>
  <si>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</si>
  <si>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</si>
  <si>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</si>
  <si>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</si>
  <si>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</si>
  <si>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</si>
  <si>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</si>
  <si>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</si>
  <si>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</si>
  <si>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</si>
  <si>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</si>
  <si>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</si>
  <si>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</si>
  <si>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</si>
  <si>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</si>
  <si>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</si>
  <si>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</si>
  <si>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</si>
  <si>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</si>
  <si>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</si>
  <si>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</si>
  <si>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</si>
  <si>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</si>
  <si>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</si>
  <si>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</si>
  <si>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</si>
  <si>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</si>
  <si>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</si>
  <si>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</si>
  <si>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</si>
  <si>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</si>
  <si>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</si>
  <si>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</si>
  <si>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</si>
  <si>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</si>
  <si>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</si>
  <si>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</si>
  <si>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</si>
  <si>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</si>
  <si>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</si>
  <si>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</si>
  <si>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</si>
  <si>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</si>
  <si>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</si>
  <si>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</si>
  <si>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</si>
  <si>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</si>
  <si>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</si>
  <si>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</si>
  <si>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</si>
  <si>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</si>
  <si>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</si>
  <si>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</si>
  <si>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</si>
  <si>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</si>
  <si>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</si>
  <si>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</si>
  <si>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</si>
  <si>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</si>
  <si>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</si>
  <si>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</si>
  <si>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</si>
  <si>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</si>
  <si>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</si>
  <si>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</si>
  <si>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</si>
  <si>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</si>
  <si>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</si>
  <si>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</si>
  <si>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</si>
  <si>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</si>
  <si>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</si>
  <si>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</si>
  <si>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</si>
  <si>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</si>
  <si>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</si>
  <si>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</si>
  <si>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</si>
  <si>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</si>
  <si>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</si>
  <si>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</si>
  <si>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</si>
  <si>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</si>
  <si>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</si>
  <si>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</si>
  <si>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</si>
  <si>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</si>
  <si>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</si>
  <si>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</si>
  <si>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</si>
  <si>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</si>
  <si>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</si>
  <si>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</si>
  <si>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</si>
  <si>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</si>
  <si>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</si>
  <si>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</si>
  <si>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</si>
  <si>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</si>
  <si>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</si>
  <si>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</si>
  <si>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</si>
  <si>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</si>
  <si>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</si>
  <si>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</si>
  <si>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</si>
  <si>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</si>
  <si>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</si>
  <si>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</si>
  <si>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</si>
  <si>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</si>
  <si>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</si>
  <si>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</si>
  <si>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</si>
  <si>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</si>
  <si>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</si>
  <si>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</si>
  <si>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</si>
  <si>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</si>
  <si>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</si>
  <si>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</si>
  <si>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</si>
  <si>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</si>
  <si>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</si>
  <si>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</si>
  <si>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</si>
  <si>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</si>
  <si>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</si>
  <si>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</si>
  <si>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</si>
  <si>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</si>
  <si>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</si>
  <si>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</si>
  <si>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</si>
  <si>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</si>
  <si>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</si>
  <si>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</si>
  <si>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</si>
  <si>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</si>
  <si>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</si>
  <si>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</si>
  <si>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</si>
  <si>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</si>
  <si>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</si>
  <si>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</si>
  <si>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</si>
  <si>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</si>
  <si>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</si>
  <si>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</si>
  <si>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</si>
  <si>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</si>
  <si>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</si>
  <si>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</si>
  <si>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</si>
  <si>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</si>
  <si>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</si>
  <si>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</si>
  <si>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</si>
  <si>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</si>
  <si>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</si>
  <si>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</si>
  <si>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</si>
  <si>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</si>
  <si>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</si>
  <si>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</si>
  <si>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</si>
  <si>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</si>
  <si>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</si>
  <si>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</si>
  <si>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</si>
  <si>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</si>
  <si>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</si>
  <si>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</si>
  <si>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</si>
  <si>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</si>
  <si>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</si>
  <si>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</si>
  <si>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</si>
  <si>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</si>
  <si>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</si>
  <si>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</si>
  <si>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</si>
  <si>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</si>
  <si>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</si>
  <si>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</si>
  <si>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</si>
  <si>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</si>
  <si>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</si>
  <si>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</si>
  <si>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</si>
  <si>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</si>
  <si>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</si>
  <si>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</si>
  <si>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</si>
  <si>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</si>
  <si>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</si>
  <si>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</si>
  <si>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</si>
  <si>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</si>
  <si>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</si>
  <si>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</si>
  <si>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</si>
  <si>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</si>
  <si>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</si>
  <si>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</si>
  <si>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</si>
  <si>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</si>
  <si>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</si>
  <si>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</si>
  <si>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</si>
  <si>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</si>
  <si>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</si>
  <si>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</si>
  <si>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</si>
  <si>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</si>
  <si>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</si>
  <si>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</si>
  <si>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</si>
  <si>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</si>
  <si>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</si>
  <si>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</si>
  <si>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</si>
  <si>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</si>
  <si>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</si>
  <si>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</si>
  <si>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</si>
  <si>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</si>
  <si>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</si>
  <si>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</si>
  <si>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</si>
  <si>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</si>
  <si>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</si>
  <si>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</si>
  <si>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</si>
  <si>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</si>
  <si>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</si>
  <si>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</si>
  <si>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</si>
  <si>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</si>
  <si>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</si>
  <si>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</si>
  <si>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</si>
  <si>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</si>
  <si>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</si>
  <si>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</si>
  <si>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</si>
  <si>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</si>
  <si>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</si>
  <si>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</si>
  <si>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</si>
  <si>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</si>
  <si>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</si>
  <si>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</si>
  <si>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</si>
  <si>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</si>
  <si>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</si>
  <si>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</si>
  <si>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</si>
  <si>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</si>
  <si>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</si>
  <si>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</si>
  <si>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</si>
  <si>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</si>
  <si>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</si>
  <si>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</si>
  <si>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</si>
  <si>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</si>
  <si>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</si>
  <si>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</si>
  <si>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</si>
  <si>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</si>
  <si>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</si>
  <si>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</si>
  <si>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</si>
  <si>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</si>
  <si>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</si>
  <si>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</si>
  <si>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</si>
  <si>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</si>
  <si>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</si>
  <si>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</si>
  <si>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</si>
  <si>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</si>
  <si>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</si>
  <si>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</si>
  <si>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</si>
  <si>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</si>
  <si>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</si>
  <si>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</si>
  <si>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</si>
  <si>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</si>
  <si>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</si>
  <si>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</si>
  <si>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</si>
  <si>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</si>
  <si>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</si>
  <si>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</si>
  <si>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</si>
  <si>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</si>
  <si>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</si>
  <si>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</si>
  <si>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</si>
  <si>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</si>
  <si>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</si>
  <si>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</si>
  <si>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</si>
  <si>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</si>
  <si>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</si>
  <si>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</si>
  <si>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</si>
  <si>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</si>
  <si>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</si>
  <si>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</si>
  <si>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</si>
  <si>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</si>
  <si>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</si>
  <si>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</si>
  <si>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</si>
  <si>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</si>
  <si>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</si>
  <si>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</si>
  <si>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</si>
  <si>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</si>
  <si>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</si>
  <si>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</si>
  <si>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</si>
  <si>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</si>
  <si>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</si>
  <si>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</si>
  <si>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</si>
  <si>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</si>
  <si>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</si>
  <si>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</si>
  <si>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</si>
  <si>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</si>
  <si>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</si>
  <si>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</si>
  <si>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</si>
  <si>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</si>
  <si>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</si>
  <si>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</si>
  <si>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</si>
  <si>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</si>
  <si>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</si>
  <si>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</si>
  <si>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</si>
  <si>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</si>
  <si>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</si>
  <si>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</si>
  <si>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</si>
  <si>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</si>
  <si>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</si>
  <si>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</si>
  <si>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</si>
  <si>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</si>
  <si>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</si>
  <si>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</si>
  <si>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</si>
  <si>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</si>
  <si>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</si>
  <si>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</si>
  <si>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</si>
  <si>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</si>
  <si>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</si>
  <si>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</si>
  <si>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</si>
  <si>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</si>
  <si>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</si>
  <si>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</si>
  <si>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</si>
  <si>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</si>
  <si>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</si>
  <si>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</si>
  <si>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</si>
  <si>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</si>
  <si>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</si>
  <si>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</si>
  <si>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</si>
  <si>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</si>
  <si>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</si>
  <si>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</si>
  <si>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</si>
  <si>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</si>
  <si>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</si>
  <si>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</si>
  <si>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</si>
  <si>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</si>
  <si>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</si>
  <si>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</si>
  <si>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</si>
  <si>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</si>
  <si>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</si>
  <si>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</si>
  <si>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</si>
  <si>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</si>
  <si>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</si>
  <si>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</si>
  <si>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</si>
  <si>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</si>
  <si>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</si>
  <si>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</si>
  <si>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</si>
  <si>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</si>
  <si>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</si>
  <si>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</si>
  <si>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</si>
  <si>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</si>
  <si>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</si>
  <si>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</si>
  <si>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</si>
  <si>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</si>
  <si>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</si>
  <si>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</si>
  <si>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</si>
  <si>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</si>
  <si>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</si>
  <si>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</si>
  <si>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</si>
  <si>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</si>
  <si>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</si>
  <si>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</si>
  <si>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</si>
  <si>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</si>
  <si>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</si>
  <si>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</si>
  <si>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</si>
  <si>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</si>
  <si>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</si>
  <si>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</si>
  <si>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</si>
  <si>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</si>
  <si>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</si>
  <si>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</si>
  <si>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</si>
  <si>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</si>
  <si>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</si>
  <si>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</si>
  <si>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</si>
  <si>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</si>
  <si>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</si>
  <si>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</si>
  <si>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</si>
  <si>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</si>
  <si>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</si>
  <si>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</si>
  <si>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</si>
  <si>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</si>
  <si>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</si>
  <si>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</si>
  <si>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</si>
  <si>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</si>
  <si>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</si>
  <si>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</si>
  <si>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</si>
  <si>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</si>
  <si>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</si>
  <si>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</si>
  <si>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</si>
  <si>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</si>
  <si>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</si>
  <si>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</si>
  <si>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</si>
  <si>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</si>
  <si>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</si>
  <si>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</si>
  <si>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</si>
  <si>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</si>
  <si>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</si>
  <si>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</si>
  <si>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</si>
  <si>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</si>
  <si>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</si>
  <si>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</si>
  <si>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</si>
  <si>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</si>
  <si>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</si>
  <si>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</si>
  <si>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</si>
  <si>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</si>
  <si>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</si>
  <si>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</si>
  <si>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</si>
  <si>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</si>
  <si>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</si>
  <si>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</si>
  <si>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</si>
  <si>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</si>
  <si>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</si>
  <si>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</si>
  <si>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</si>
  <si>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</si>
  <si>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</si>
  <si>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</si>
  <si>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</si>
  <si>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</si>
  <si>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</si>
  <si>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</si>
  <si>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</si>
  <si>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</si>
  <si>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</si>
  <si>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</si>
  <si>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</si>
  <si>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</si>
  <si>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</si>
  <si>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</si>
  <si>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</si>
  <si>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</si>
  <si>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</si>
  <si>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</si>
  <si>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</si>
  <si>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</si>
  <si>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</si>
  <si>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</si>
  <si>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</si>
  <si>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</si>
  <si>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</si>
  <si>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</si>
  <si>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</si>
  <si>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</si>
  <si>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</si>
  <si>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</si>
  <si>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</si>
  <si>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</si>
  <si>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</si>
  <si>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</si>
  <si>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</si>
  <si>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</si>
  <si>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</si>
  <si>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</si>
  <si>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</si>
  <si>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</si>
  <si>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</si>
  <si>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</si>
  <si>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</si>
  <si>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</si>
  <si>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</si>
  <si>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</si>
  <si>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</si>
  <si>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</si>
  <si>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</si>
  <si>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</si>
  <si>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</si>
  <si>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</si>
  <si>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</si>
  <si>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</si>
  <si>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</si>
  <si>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</si>
  <si>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</si>
  <si>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</si>
  <si>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</si>
  <si>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</si>
  <si>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</si>
  <si>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</si>
  <si>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</si>
  <si>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</si>
  <si>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</si>
  <si>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</si>
  <si>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</si>
  <si>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</si>
  <si>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</si>
  <si>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</si>
  <si>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</si>
  <si>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</si>
  <si>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</si>
  <si>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</si>
  <si>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</si>
  <si>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</si>
  <si>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</si>
  <si>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</si>
  <si>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</si>
  <si>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</si>
  <si>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</si>
  <si>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</si>
  <si>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</si>
  <si>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</si>
  <si>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</si>
  <si>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</si>
  <si>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</si>
  <si>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</si>
  <si>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</si>
  <si>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</si>
  <si>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</si>
  <si>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</si>
  <si>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</si>
  <si>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</si>
  <si>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</si>
  <si>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</si>
  <si>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</si>
  <si>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</si>
  <si>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</si>
  <si>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</si>
  <si>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</si>
  <si>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</si>
  <si>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</si>
  <si>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</si>
  <si>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</si>
  <si>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</si>
  <si>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</si>
  <si>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</si>
  <si>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</si>
  <si>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</si>
  <si>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</si>
  <si>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</si>
  <si>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</si>
  <si>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</si>
  <si>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</si>
  <si>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</si>
  <si>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</si>
  <si>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</si>
  <si>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</si>
  <si>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</si>
  <si>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</si>
  <si>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</si>
  <si>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</si>
  <si>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</si>
  <si>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</si>
  <si>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</si>
  <si>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</si>
  <si>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</si>
  <si>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</si>
  <si>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</si>
  <si>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</si>
  <si>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</si>
  <si>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</si>
  <si>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</si>
  <si>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</si>
  <si>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</si>
  <si>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</si>
  <si>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</si>
  <si>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</si>
  <si>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</si>
  <si>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</si>
  <si>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</si>
  <si>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</si>
  <si>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</si>
  <si>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</si>
  <si>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</si>
  <si>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</si>
  <si>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</si>
  <si>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</si>
  <si>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</si>
  <si>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</si>
  <si>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</si>
  <si>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</si>
  <si>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</si>
  <si>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</si>
  <si>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</si>
  <si>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</si>
  <si>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</si>
  <si>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</si>
  <si>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</si>
  <si>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</si>
  <si>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</si>
  <si>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</si>
  <si>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</si>
  <si>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</si>
  <si>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</si>
  <si>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</si>
  <si>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</si>
  <si>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</si>
  <si>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</si>
  <si>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</si>
  <si>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</si>
  <si>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</si>
  <si>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</si>
  <si>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</si>
  <si>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</si>
  <si>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</si>
  <si>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</si>
  <si>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</si>
  <si>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</si>
  <si>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</si>
  <si>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</si>
  <si>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</si>
  <si>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</si>
  <si>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</si>
  <si>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</si>
  <si>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</si>
  <si>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</si>
  <si>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</si>
  <si>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</si>
  <si>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</si>
  <si>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</si>
  <si>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</si>
  <si>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</si>
  <si>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</si>
  <si>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</si>
  <si>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</si>
  <si>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</si>
  <si>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</si>
  <si>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</si>
  <si>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</si>
  <si>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</si>
  <si>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</si>
  <si>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</si>
  <si>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</si>
  <si>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</si>
  <si>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</si>
  <si>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</si>
  <si>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</si>
  <si>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</si>
  <si>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</si>
  <si>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</si>
  <si>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</si>
  <si>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</si>
  <si>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</si>
  <si>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</si>
  <si>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</si>
  <si>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</si>
  <si>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</si>
  <si>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</si>
  <si>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</si>
  <si>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</si>
  <si>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</si>
  <si>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</si>
  <si>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</si>
  <si>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</si>
  <si>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</si>
  <si>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</si>
  <si>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</si>
  <si>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</si>
  <si>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</si>
  <si>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</si>
  <si>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</si>
  <si>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</si>
  <si>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</si>
  <si>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</si>
  <si>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</si>
  <si>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</si>
  <si>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</si>
  <si>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</si>
  <si>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</si>
  <si>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</si>
  <si>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</si>
  <si>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</si>
  <si>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</si>
  <si>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</si>
  <si>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</si>
  <si>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</si>
  <si>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</si>
  <si>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</si>
  <si>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</si>
  <si>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</si>
  <si>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</si>
  <si>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</si>
  <si>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</si>
  <si>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</si>
  <si>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</si>
  <si>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</si>
  <si>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</si>
  <si>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</si>
  <si>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</si>
  <si>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</si>
  <si>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</si>
  <si>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</si>
  <si>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</si>
  <si>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</si>
  <si>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</si>
  <si>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</si>
  <si>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</si>
  <si>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</si>
  <si>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</si>
  <si>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</si>
  <si>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</si>
  <si>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</si>
  <si>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</si>
  <si>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</si>
  <si>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</si>
  <si>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</si>
  <si>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</si>
  <si>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</si>
  <si>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</si>
  <si>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</si>
  <si>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</si>
  <si>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</si>
  <si>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</si>
  <si>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</si>
  <si>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</si>
  <si>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</si>
  <si>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</si>
  <si>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</si>
  <si>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</si>
  <si>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</si>
  <si>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</si>
  <si>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</si>
  <si>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</si>
  <si>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</si>
  <si>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</si>
  <si>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</si>
  <si>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</si>
  <si>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</si>
  <si>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</si>
  <si>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</si>
  <si>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</si>
  <si>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</si>
  <si>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</si>
  <si>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</si>
  <si>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</si>
  <si>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</si>
  <si>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</si>
  <si>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</si>
  <si>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</si>
  <si>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</si>
  <si>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</si>
  <si>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</si>
  <si>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</si>
  <si>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</si>
  <si>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</si>
  <si>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</si>
  <si>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</si>
  <si>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</si>
  <si>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</si>
  <si>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</si>
  <si>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</si>
  <si>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</si>
  <si>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</si>
  <si>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</si>
  <si>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</si>
  <si>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</si>
  <si>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</si>
  <si>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</si>
  <si>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</si>
  <si>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</si>
  <si>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</si>
  <si>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</si>
  <si>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</si>
  <si>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</si>
  <si>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</si>
  <si>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</si>
  <si>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</si>
  <si>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</si>
  <si>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</si>
  <si>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</si>
  <si>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</si>
  <si>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</si>
  <si>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</si>
  <si>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</si>
  <si>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</si>
  <si>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</si>
  <si>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</si>
  <si>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</si>
  <si>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</si>
  <si>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</si>
  <si>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</si>
  <si>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</si>
  <si>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</si>
  <si>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</si>
  <si>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</si>
  <si>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</si>
  <si>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</si>
  <si>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</si>
  <si>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</si>
  <si>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</si>
  <si>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</si>
  <si>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</si>
  <si>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</si>
  <si>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</si>
  <si>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</si>
  <si>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</si>
  <si>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</si>
  <si>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</si>
  <si>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</si>
  <si>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</si>
  <si>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</si>
  <si>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</si>
  <si>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</si>
  <si>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</si>
  <si>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</si>
  <si>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</si>
  <si>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</si>
  <si>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</si>
  <si>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</si>
  <si>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</si>
  <si>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</si>
  <si>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</si>
  <si>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</si>
  <si>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</si>
  <si>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</si>
  <si>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</si>
  <si>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</si>
  <si>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</si>
  <si>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</si>
  <si>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</si>
  <si>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</si>
  <si>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</si>
  <si>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</si>
  <si>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</si>
  <si>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</si>
  <si>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</si>
  <si>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</si>
  <si>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</si>
  <si>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</si>
  <si>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</si>
  <si>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</si>
  <si>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</si>
  <si>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</si>
  <si>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</si>
  <si>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</si>
  <si>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</si>
  <si>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</si>
  <si>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</si>
  <si>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</si>
  <si>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</si>
  <si>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</si>
  <si>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</si>
  <si>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</si>
  <si>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</si>
  <si>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</si>
  <si>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</si>
  <si>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</si>
  <si>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</si>
  <si>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</si>
  <si>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</si>
  <si>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</si>
  <si>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</si>
  <si>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</si>
  <si>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</si>
  <si>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</si>
  <si>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</si>
  <si>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</si>
  <si>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</si>
  <si>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</si>
  <si>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</si>
  <si>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</si>
  <si>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</si>
  <si>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</si>
  <si>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</si>
  <si>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</si>
  <si>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</si>
  <si>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</si>
  <si>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</si>
  <si>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</si>
  <si>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</si>
  <si>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</si>
  <si>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</si>
  <si>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</si>
  <si>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</si>
  <si>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</si>
  <si>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</si>
  <si>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</si>
  <si>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</si>
  <si>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</si>
  <si>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</si>
  <si>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</si>
  <si>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</si>
  <si>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</si>
  <si>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</si>
  <si>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</si>
  <si>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</si>
  <si>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</si>
  <si>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</si>
  <si>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</si>
  <si>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</si>
  <si>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</si>
  <si>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</si>
  <si>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</si>
  <si>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</si>
  <si>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</si>
  <si>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</si>
  <si>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</si>
  <si>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</si>
  <si>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</si>
  <si>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</si>
  <si>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</si>
  <si>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</si>
  <si>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</si>
  <si>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</si>
  <si>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</si>
  <si>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</si>
  <si>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</si>
  <si>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</si>
  <si>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</si>
  <si>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</si>
  <si>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</si>
  <si>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</si>
  <si>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</si>
  <si>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</si>
  <si>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</si>
  <si>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</si>
  <si>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</si>
  <si>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</si>
  <si>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</si>
  <si>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</si>
  <si>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</si>
  <si>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</si>
  <si>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</si>
  <si>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</si>
  <si>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</si>
  <si>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</si>
  <si>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</si>
  <si>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</si>
  <si>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</si>
  <si>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</si>
  <si>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</si>
  <si>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</si>
  <si>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</si>
  <si>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</si>
  <si>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</si>
  <si>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</si>
  <si>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</si>
  <si>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</si>
  <si>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</si>
  <si>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</si>
  <si>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</si>
  <si>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</si>
  <si>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</si>
  <si>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</si>
  <si>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</si>
  <si>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</si>
  <si>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</si>
  <si>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</si>
  <si>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</si>
  <si>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</si>
  <si>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</si>
  <si>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</si>
  <si>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</si>
  <si>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</si>
  <si>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</si>
  <si>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</si>
  <si>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</si>
  <si>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</si>
  <si>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</si>
  <si>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</si>
  <si>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</si>
  <si>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</si>
  <si>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</si>
  <si>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</si>
  <si>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</si>
  <si>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</si>
  <si>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</si>
  <si>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</si>
  <si>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</si>
  <si>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</si>
  <si>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</si>
  <si>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</si>
  <si>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</si>
  <si>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</si>
  <si>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</si>
  <si>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</si>
  <si>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</si>
  <si>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</si>
  <si>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</si>
  <si>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</si>
  <si>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</si>
  <si>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</si>
  <si>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</si>
  <si>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</si>
  <si>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</si>
  <si>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</si>
  <si>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</si>
  <si>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</si>
  <si>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</si>
  <si>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</si>
  <si>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</si>
  <si>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</si>
  <si>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</si>
  <si>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</si>
  <si>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</si>
  <si>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</si>
  <si>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</si>
  <si>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</si>
  <si>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</si>
  <si>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</si>
  <si>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</si>
  <si>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</si>
  <si>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</si>
  <si>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</si>
  <si>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</si>
  <si>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</si>
  <si>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</si>
  <si>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</si>
  <si>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</si>
  <si>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</si>
  <si>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</si>
  <si>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</si>
  <si>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</si>
  <si>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</si>
  <si>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</si>
  <si>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</si>
  <si>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</si>
  <si>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</si>
  <si>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</si>
  <si>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</si>
  <si>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</si>
  <si>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</si>
  <si>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</si>
  <si>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</si>
  <si>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</si>
  <si>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</si>
  <si>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</si>
  <si>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</si>
  <si>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</si>
  <si>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</si>
  <si>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</si>
  <si>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</si>
  <si>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</si>
  <si>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</si>
  <si>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</si>
  <si>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</si>
  <si>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</si>
  <si>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</si>
  <si>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</si>
  <si>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</si>
  <si>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</si>
  <si>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</si>
  <si>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</si>
  <si>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</si>
  <si>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</si>
  <si>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</si>
  <si>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</si>
  <si>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</si>
  <si>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</si>
  <si>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</si>
  <si>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</si>
  <si>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</si>
  <si>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</si>
  <si>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</si>
  <si>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</si>
  <si>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</si>
  <si>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</si>
  <si>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</si>
  <si>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</si>
  <si>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</si>
  <si>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</si>
  <si>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</si>
  <si>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</si>
  <si>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</si>
  <si>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</si>
  <si>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</si>
  <si>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</si>
  <si>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</si>
  <si>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</si>
  <si>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</si>
  <si>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</si>
  <si>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</si>
  <si>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</si>
  <si>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</si>
  <si>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</si>
  <si>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</si>
  <si>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</si>
  <si>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</si>
  <si>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</si>
  <si>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</si>
  <si>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</si>
  <si>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</si>
  <si>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</si>
  <si>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</si>
  <si>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</si>
  <si>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</si>
  <si>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</si>
  <si>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</si>
  <si>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</si>
  <si>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</si>
  <si>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</si>
  <si>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</si>
  <si>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</si>
  <si>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</si>
  <si>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</si>
  <si>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</si>
  <si>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</si>
  <si>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</si>
  <si>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</si>
  <si>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</si>
  <si>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</si>
  <si>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</si>
  <si>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</si>
  <si>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</si>
  <si>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</si>
  <si>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</si>
  <si>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</si>
  <si>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</si>
  <si>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</si>
  <si>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</si>
  <si>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</si>
  <si>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</si>
  <si>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</si>
  <si>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</si>
  <si>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</si>
  <si>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</si>
  <si>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</si>
  <si>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</si>
  <si>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</si>
  <si>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</si>
  <si>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</si>
  <si>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</si>
  <si>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</si>
  <si>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</si>
  <si>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</si>
  <si>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</si>
  <si>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</si>
  <si>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</si>
  <si>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</si>
  <si>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</si>
  <si>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</si>
  <si>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</si>
  <si>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</si>
  <si>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</si>
  <si>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</si>
  <si>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</si>
  <si>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</si>
  <si>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</si>
  <si>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</si>
  <si>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</si>
  <si>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</si>
  <si>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</si>
  <si>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</si>
  <si>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</si>
  <si>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</si>
  <si>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</si>
  <si>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</si>
  <si>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</si>
  <si>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</si>
  <si>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</si>
  <si>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</si>
  <si>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</si>
  <si>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</si>
  <si>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</si>
  <si>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</si>
  <si>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</si>
  <si>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</si>
  <si>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</si>
  <si>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</si>
  <si>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</si>
  <si>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</si>
  <si>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</si>
  <si>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</si>
  <si>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</si>
  <si>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</si>
  <si>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</si>
  <si>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</si>
  <si>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</si>
  <si>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</si>
  <si>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</si>
  <si>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</si>
  <si>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</si>
  <si>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</si>
  <si>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</si>
  <si>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</si>
  <si>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</si>
  <si>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</si>
  <si>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</si>
  <si>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</si>
  <si>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</si>
  <si>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</si>
  <si>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</si>
  <si>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</si>
  <si>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</si>
  <si>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</si>
  <si>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</si>
  <si>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</si>
  <si>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</si>
  <si>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</si>
  <si>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</si>
  <si>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</si>
  <si>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</si>
  <si>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</si>
  <si>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</si>
  <si>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</si>
  <si>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</si>
  <si>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</si>
  <si>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</si>
  <si>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</si>
  <si>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</si>
  <si>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</si>
  <si>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</si>
  <si>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</si>
  <si>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</si>
  <si>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</si>
  <si>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</si>
  <si>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</si>
  <si>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</si>
  <si>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</si>
  <si>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</si>
  <si>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</si>
  <si>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F2</t>
  </si>
  <si>
    <t>F3</t>
  </si>
  <si>
    <t>F4</t>
  </si>
  <si>
    <t>F5</t>
  </si>
  <si>
    <t>F6</t>
  </si>
  <si>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</si>
  <si>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</si>
  <si>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</si>
  <si>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</si>
  <si>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</si>
  <si>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</si>
  <si>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</si>
  <si>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</si>
  <si>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</si>
  <si>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</si>
  <si>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</si>
  <si>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</si>
  <si>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</si>
  <si>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</si>
  <si>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</si>
  <si>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</si>
  <si>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</si>
  <si>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</si>
  <si>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</si>
  <si>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</si>
  <si>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</si>
  <si>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</si>
  <si>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</si>
  <si>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</si>
  <si>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</si>
  <si>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</si>
  <si>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</si>
  <si>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</si>
  <si>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北京经济技术开发区路东区C14C-1、C14C-2、C14S-1地块</t>
  </si>
  <si>
    <t>京土整储挂(开)[2017]058号</t>
  </si>
  <si>
    <t>已完工</t>
  </si>
  <si>
    <t>2017-06-30</t>
  </si>
  <si>
    <t>2017-07-25</t>
  </si>
  <si>
    <t>2017-08-08</t>
  </si>
  <si>
    <t>北京联茂方泰房地产开发有限公司(京东)</t>
  </si>
  <si>
    <t>好</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</si>
  <si>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</si>
  <si>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</si>
  <si>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</si>
  <si>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</si>
  <si>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</si>
  <si>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</si>
  <si>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</si>
  <si>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t>估价对象所在区域公共配套设施齐备情况一般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</si>
  <si>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</si>
  <si>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</si>
  <si>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</si>
  <si>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</si>
  <si>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</si>
  <si>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</si>
  <si>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</si>
  <si>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</si>
  <si>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</si>
  <si>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</si>
  <si>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</si>
  <si>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</si>
  <si>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</si>
  <si>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</si>
  <si>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</si>
  <si>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</si>
  <si>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</si>
  <si>
    <t>抵押价格</t>
  </si>
  <si>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</si>
  <si>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区域自然环境：体育公园、金茂悦健身公园；人文环境；综合评价环境状况一般</t>
    <phoneticPr fontId="3" type="noConversion"/>
  </si>
  <si>
    <t>北京经济技术开发区路东区E16街区E16C-3、E16C-5、E16S-1地块</t>
    <phoneticPr fontId="228" type="noConversion"/>
  </si>
  <si>
    <t>B4综合性商业金融服务业用地、S41公用停车场用地</t>
    <phoneticPr fontId="228" type="noConversion"/>
  </si>
  <si>
    <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</si>
  <si>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年度</t>
  </si>
  <si>
    <r>
      <t>1</t>
    </r>
    <r>
      <rPr>
        <sz val="10.5"/>
        <color rgb="FFE36C0A"/>
        <rFont val="仿宋_GB2312"/>
        <family val="3"/>
        <charset val="134"/>
      </rPr>
      <t>季度</t>
    </r>
  </si>
  <si>
    <r>
      <t>2</t>
    </r>
    <r>
      <rPr>
        <sz val="10.5"/>
        <color rgb="FFE36C0A"/>
        <rFont val="仿宋_GB2312"/>
        <family val="3"/>
        <charset val="134"/>
      </rPr>
      <t>季度</t>
    </r>
  </si>
  <si>
    <r>
      <t>3</t>
    </r>
    <r>
      <rPr>
        <sz val="10.5"/>
        <color rgb="FFE36C0A"/>
        <rFont val="仿宋_GB2312"/>
        <family val="3"/>
        <charset val="134"/>
      </rPr>
      <t>季度</t>
    </r>
  </si>
  <si>
    <r>
      <t>4</t>
    </r>
    <r>
      <rPr>
        <sz val="10.5"/>
        <color rgb="FFE36C0A"/>
        <rFont val="仿宋_GB2312"/>
        <family val="3"/>
        <charset val="134"/>
      </rPr>
      <t>季度</t>
    </r>
  </si>
  <si>
    <t>F3其他类多功能用地</t>
    <phoneticPr fontId="228" type="noConversion"/>
  </si>
  <si>
    <t>商业楼</t>
    <phoneticPr fontId="3" type="noConversion"/>
  </si>
  <si>
    <t>地下室及智慧车库</t>
    <phoneticPr fontId="3" type="noConversion"/>
  </si>
  <si>
    <t>人防工程口部</t>
    <phoneticPr fontId="3" type="noConversion"/>
  </si>
  <si>
    <t>车库</t>
    <phoneticPr fontId="7" type="noConversion"/>
  </si>
  <si>
    <t>收益性</t>
    <phoneticPr fontId="7" type="noConversion"/>
  </si>
  <si>
    <t>设备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</si>
</sst>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0.5"/>
      <color rgb="FFE36C0A"/>
      <name val="Arial"/>
      <family val="2"/>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0" fontId="0" fillId="11" borderId="0" xfId="0"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2"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0" fillId="17" borderId="0" xfId="0" applyFill="1">
      <alignment vertical="center"/>
    </xf>
    <xf numFmtId="0" fontId="127" fillId="11" borderId="0" xfId="0" applyFont="1" applyFill="1" applyAlignment="1"/>
    <xf numFmtId="0" fontId="197" fillId="13" borderId="82" xfId="0" applyFont="1" applyFill="1" applyBorder="1" applyAlignment="1">
      <alignment horizontal="center" vertical="center"/>
    </xf>
    <xf numFmtId="0" fontId="294" fillId="13" borderId="38" xfId="0" applyFont="1" applyFill="1" applyBorder="1" applyAlignment="1">
      <alignment horizontal="center" vertical="center"/>
    </xf>
    <xf numFmtId="0" fontId="197" fillId="13" borderId="80" xfId="0" applyFont="1" applyFill="1" applyBorder="1" applyAlignment="1">
      <alignment horizontal="center" vertical="center"/>
    </xf>
    <xf numFmtId="0" fontId="197" fillId="13" borderId="66" xfId="0" applyFont="1" applyFill="1" applyBorder="1" applyAlignment="1">
      <alignment horizontal="center" vertical="center" wrapText="1"/>
    </xf>
    <xf numFmtId="0" fontId="197" fillId="13" borderId="66" xfId="0" applyFont="1" applyFill="1" applyBorder="1" applyAlignment="1">
      <alignment horizontal="center" vertical="center"/>
    </xf>
    <xf numFmtId="0" fontId="295" fillId="0" borderId="21" xfId="0" applyFont="1" applyBorder="1" applyAlignment="1" applyProtection="1">
      <alignment horizontal="center" vertical="center" wrapText="1"/>
      <protection locked="0"/>
    </xf>
    <xf numFmtId="0" fontId="259" fillId="0" borderId="21" xfId="0" applyFont="1" applyBorder="1" applyAlignment="1" applyProtection="1">
      <alignment horizontal="center" vertical="center" wrapText="1"/>
      <protection locked="0"/>
    </xf>
    <xf numFmtId="180" fontId="71" fillId="0" borderId="0" xfId="0" applyNumberFormat="1" applyFont="1" applyProtection="1">
      <alignment vertical="center"/>
      <protection locked="0"/>
    </xf>
    <xf numFmtId="0" fontId="71" fillId="17" borderId="9" xfId="0" applyNumberFormat="1" applyFont="1" applyFill="1" applyBorder="1" applyAlignment="1" applyProtection="1">
      <alignment horizontal="center" vertical="center" wrapText="1"/>
      <protection locked="0"/>
    </xf>
    <xf numFmtId="0" fontId="84" fillId="17"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0" xfId="0" applyFont="1" applyProtection="1">
      <alignment vertical="center"/>
      <protection locked="0"/>
    </xf>
  </cellXfs>
  <cellStyles count="17">
    <cellStyle name="百分比" xfId="16" builtinId="5"/>
    <cellStyle name="百分比 2" xfId="11" xr:uid="{00000000-0005-0000-0000-000001000000}"/>
    <cellStyle name="常规" xfId="0" builtinId="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6" customWidth="1"/>
    <col min="2" max="2" width="78.21875" style="2837" customWidth="1"/>
    <col min="3" max="18" width="9" style="2831"/>
    <col min="19" max="19" width="17.88671875" style="2831" customWidth="1"/>
    <col min="20" max="51" width="9" style="2831"/>
    <col min="52" max="52" width="13.21875" style="2831" customWidth="1"/>
    <col min="53" max="53" width="13.44140625" style="2831" bestFit="1" customWidth="1"/>
    <col min="54" max="54" width="11.6640625" style="2831" bestFit="1" customWidth="1"/>
    <col min="55" max="55" width="13.44140625" style="2831" bestFit="1" customWidth="1"/>
    <col min="56" max="16384" width="9" style="2831"/>
  </cols>
  <sheetData>
    <row r="1" spans="1:55" s="2842" customFormat="1" ht="16.2" thickBot="1">
      <c r="A1" s="2840" t="s">
        <v>2652</v>
      </c>
      <c r="B1" s="2841" t="s">
        <v>2749</v>
      </c>
    </row>
    <row r="2" spans="1:55" s="2845" customFormat="1" ht="16.2" thickTop="1">
      <c r="A2" s="2843" t="s">
        <v>2656</v>
      </c>
      <c r="B2" s="2844" t="str">
        <f>'预评函-封皮'!B37</f>
        <v>北京市经济技术开发区河西区X78C2地块B4综合性商业金融服务业用地出让国有建设用地使用权抵押价格预评估</v>
      </c>
      <c r="AX2" s="2846"/>
      <c r="AZ2" s="2846"/>
      <c r="BA2" s="2847"/>
      <c r="BC2" s="2847"/>
    </row>
    <row r="3" spans="1:55" s="2848" customFormat="1">
      <c r="A3" s="2827" t="s">
        <v>2657</v>
      </c>
      <c r="B3" s="2830" t="str">
        <f>'预评函-封皮'!B40</f>
        <v>北京尚恒锦祥商业运营管理有限公司</v>
      </c>
    </row>
    <row r="4" spans="1:55" s="2829" customFormat="1">
      <c r="A4" s="2827" t="s">
        <v>2658</v>
      </c>
      <c r="B4" s="2828" t="str">
        <f>'预评函-封皮'!B46</f>
        <v>土地估价师、土地估价师</v>
      </c>
      <c r="N4" s="2829" t="str">
        <f>'预评函-1'!A28</f>
        <v/>
      </c>
    </row>
    <row r="5" spans="1:55" s="2842" customFormat="1" ht="16.2" thickBot="1">
      <c r="A5" s="2849" t="s">
        <v>2659</v>
      </c>
      <c r="B5" s="2850" t="str">
        <f>'预评函-封皮'!B49</f>
        <v>康正预评字号</v>
      </c>
    </row>
    <row r="6" spans="1:55" s="2851" customFormat="1" ht="16.2" thickTop="1">
      <c r="A6" s="2843" t="s">
        <v>2701</v>
      </c>
      <c r="B6" s="2844" t="str">
        <f>'预评函-1'!A4</f>
        <v>受贵公司委托，我公司对北京市经济技术开发区河西区X78C2地块B4综合性商业金融服务业用地出让国有建设用地使用权抵押价格进行了预评估。</v>
      </c>
      <c r="AM6" s="2852"/>
    </row>
    <row r="7" spans="1:55" s="2826" customFormat="1">
      <c r="A7" s="2827" t="s">
        <v>2653</v>
      </c>
      <c r="B7" s="2828" t="str">
        <f>'预评函-1'!A6</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6" customFormat="1">
      <c r="A10" s="2827" t="s">
        <v>2655</v>
      </c>
      <c r="B10" s="2828" t="str">
        <f>'预评函-1'!A11</f>
        <v>2020年7月15日（评估专业人员勘察现场之日）</v>
      </c>
    </row>
    <row r="11" spans="1:55" s="2826" customFormat="1">
      <c r="A11" s="2827" t="s">
        <v>2661</v>
      </c>
      <c r="B11" s="2828" t="str">
        <f>'预评函-1'!A14</f>
        <v>根据《国有土地使用证》[]，本次评估估价对象证载（地类）用途为商业、办公。</v>
      </c>
    </row>
    <row r="12" spans="1:55" s="2826" customFormat="1">
      <c r="A12" s="2827" t="s">
        <v>2662</v>
      </c>
      <c r="B12" s="2828" t="str">
        <f>'预评函-1'!A15</f>
        <v>本次评估设定用途即为证载用途商业、办公。</v>
      </c>
    </row>
    <row r="13" spans="1:55" s="2826" customFormat="1">
      <c r="A13" s="2827" t="s">
        <v>2663</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根据《国有土地使用证》[]，估价对象（分摊）出让国有建设用地使用权面积为40278.8平方米。根据《建设工程规划许可证》[]、《出让合同》[]，估价对象规划建筑面积为155053平方米。</v>
      </c>
    </row>
    <row r="16" spans="1:55" s="2826" customFormat="1">
      <c r="A16" s="2827" t="s">
        <v>2665</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6" customFormat="1">
      <c r="A17" s="2827" t="s">
        <v>2666</v>
      </c>
      <c r="B17" s="2828" t="str">
        <f>'预评函-1'!A23</f>
        <v>本次评估设定估价对象剩余土地使用年限为。</v>
      </c>
    </row>
    <row r="18" spans="1:48" s="2826" customFormat="1">
      <c r="A18" s="2827" t="s">
        <v>2667</v>
      </c>
      <c r="B18" s="2828" t="str">
        <f>'预评函-1'!A25</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6.2" thickBot="1">
      <c r="A21" s="2849" t="s">
        <v>2670</v>
      </c>
      <c r="B21" s="2850" t="str">
        <f>'预评函-1'!A28</f>
        <v/>
      </c>
    </row>
    <row r="22" spans="1:48" ht="16.2" thickTop="1">
      <c r="A22" s="2838" t="s">
        <v>2671</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估价期日：2020年7月15日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商业、办公</v>
      </c>
      <c r="AV32" s="2832"/>
    </row>
    <row r="33" spans="1:2">
      <c r="A33" s="2827" t="s">
        <v>2709</v>
      </c>
      <c r="B33" s="2828">
        <f>'预评函-2'!F5</f>
        <v>258</v>
      </c>
    </row>
    <row r="34" spans="1:2">
      <c r="A34" s="2827" t="s">
        <v>2710</v>
      </c>
      <c r="B34" s="2828" t="str">
        <f>'预评函-2'!G5</f>
        <v>商业、办公</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f>'预评函-2'!M5</f>
        <v>0</v>
      </c>
    </row>
    <row r="42" spans="1:2">
      <c r="A42" s="2827" t="s">
        <v>2735</v>
      </c>
      <c r="B42" s="2828" t="str">
        <f>'预评函-2'!N3</f>
        <v>（分摊）出让国有建设用地使用权面积/㎡</v>
      </c>
    </row>
    <row r="43" spans="1:2">
      <c r="A43" s="2827" t="s">
        <v>2717</v>
      </c>
      <c r="B43" s="2828">
        <f>'预评函-2'!N5</f>
        <v>40278.800000000003</v>
      </c>
    </row>
    <row r="44" spans="1:2">
      <c r="A44" s="2827" t="s">
        <v>2736</v>
      </c>
      <c r="B44" s="2828" t="str">
        <f>'预评函-2'!O3</f>
        <v>规划建筑面积/㎡</v>
      </c>
    </row>
    <row r="45" spans="1:2">
      <c r="A45" s="2827" t="s">
        <v>2718</v>
      </c>
      <c r="B45" s="2828">
        <f>'预评函-2'!O5</f>
        <v>155053</v>
      </c>
    </row>
    <row r="46" spans="1:2">
      <c r="A46" s="2827" t="s">
        <v>2719</v>
      </c>
      <c r="B46" s="2828">
        <f ca="1">'预评函-2'!P5</f>
        <v>26534</v>
      </c>
    </row>
    <row r="47" spans="1:2">
      <c r="A47" s="2827" t="s">
        <v>2720</v>
      </c>
      <c r="B47" s="2828">
        <f ca="1">'预评函-2'!Q5</f>
        <v>6893</v>
      </c>
    </row>
    <row r="48" spans="1:2">
      <c r="A48" s="2827" t="s">
        <v>2721</v>
      </c>
      <c r="B48" s="2828">
        <f ca="1">'预评函-2'!R5</f>
        <v>106875</v>
      </c>
    </row>
    <row r="49" spans="1:2">
      <c r="A49" s="2827" t="s">
        <v>2737</v>
      </c>
      <c r="B49" s="2828" t="str">
        <f>'预评函-2'!A6</f>
        <v>抵押价格</v>
      </c>
    </row>
    <row r="50" spans="1:2">
      <c r="A50" s="2827" t="s">
        <v>2722</v>
      </c>
      <c r="B50" s="2828">
        <f ca="1">'预评函-2'!R6</f>
        <v>100855</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6.2" thickBot="1">
      <c r="A54" s="2849" t="s">
        <v>2724</v>
      </c>
      <c r="B54" s="2850" t="str">
        <f>'预评函-2'!R8</f>
        <v>——</v>
      </c>
    </row>
    <row r="55" spans="1:2" ht="16.2" thickTop="1">
      <c r="A55" s="2838" t="s">
        <v>2674</v>
      </c>
      <c r="B55" s="2839" t="str">
        <f>'预评函-3'!A2</f>
        <v>1.权利限制：根据估价对象《不动产权证书》原件、《国有土地使用权》复印件，截至估价期日，估价对象抵押权未见登记。未设定租赁等其他他项权利。</v>
      </c>
    </row>
    <row r="56" spans="1:2">
      <c r="A56" s="2827" t="s">
        <v>2675</v>
      </c>
      <c r="B56" s="2828" t="str">
        <f>'预评函-3'!A3</f>
        <v>2.基础设施条件：估价对象实际开发程度为红线外七通、宗地红线内；本次评估设定开发程度为红线外七通、宗地红线内场地平整。</v>
      </c>
    </row>
    <row r="57" spans="1:2">
      <c r="A57" s="2827" t="s">
        <v>2676</v>
      </c>
      <c r="B57" s="2828" t="str">
        <f>'预评函-3'!A4</f>
        <v>3.估价规划限制条件：详见《建设工程规划许可证》[]、《出让合同》[]。</v>
      </c>
    </row>
    <row r="58" spans="1:2" s="2842" customFormat="1" ht="16.2" thickBot="1">
      <c r="A58" s="2849" t="s">
        <v>2725</v>
      </c>
      <c r="B58" s="2850" t="str">
        <f>'预评函-3'!A5</f>
        <v>4.影响价格的其他限定条件：无。</v>
      </c>
    </row>
    <row r="59" spans="1:2" ht="16.2"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综上，本次评估估价师知悉的法定优先受偿款为人民币6020万元整。</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6.2" thickBot="1">
      <c r="A68" s="2849" t="s">
        <v>2688</v>
      </c>
      <c r="B68" s="2853">
        <f>'预评函-3'!D30</f>
        <v>42558</v>
      </c>
    </row>
    <row r="69" spans="1:2" ht="16.2" thickTop="1">
      <c r="A69" s="2838" t="s">
        <v>2686</v>
      </c>
      <c r="B69" s="2839" t="str">
        <f>'预评函-3'!A20</f>
        <v>土地估价师</v>
      </c>
    </row>
    <row r="70" spans="1:2">
      <c r="A70" s="2827" t="s">
        <v>2686</v>
      </c>
      <c r="B70" s="2834">
        <f>'预评函-3'!B20</f>
        <v>0</v>
      </c>
    </row>
    <row r="71" spans="1:2">
      <c r="A71" s="2827" t="s">
        <v>2687</v>
      </c>
      <c r="B71" s="2828" t="str">
        <f>'预评函-3'!A21</f>
        <v>土地估价师</v>
      </c>
    </row>
    <row r="72" spans="1:2" s="2842" customFormat="1" ht="16.2" thickBot="1">
      <c r="A72" s="2849" t="s">
        <v>2687</v>
      </c>
      <c r="B72" s="2855">
        <f>'预评函-3'!B21</f>
        <v>0</v>
      </c>
    </row>
    <row r="73" spans="1:2" ht="16.2"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6.2"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B44" sqref="B44"/>
    </sheetView>
  </sheetViews>
  <sheetFormatPr defaultColWidth="10" defaultRowHeight="15.6"/>
  <cols>
    <col min="1" max="1" width="17.44140625" style="1669" customWidth="1"/>
    <col min="2" max="2" width="13" style="1669" customWidth="1"/>
    <col min="3" max="3" width="12.6640625" style="1669" customWidth="1"/>
    <col min="4" max="4" width="17.77734375" style="1669" bestFit="1" customWidth="1"/>
    <col min="5" max="5" width="12.44140625" style="1669" customWidth="1"/>
    <col min="6" max="6" width="11.33203125" style="1669" customWidth="1"/>
    <col min="7" max="7" width="12.33203125" style="1669" customWidth="1"/>
    <col min="8" max="8" width="10" style="1669" customWidth="1"/>
    <col min="9" max="9" width="12.441406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6.2" thickBot="1">
      <c r="A1" s="1637" t="s">
        <v>1935</v>
      </c>
      <c r="B1" s="3353" t="str">
        <f>IF(B10="北京市","北京市",C10)&amp;F10&amp;B16&amp;"国有建设用地使用权"&amp;B9&amp;"预评估"</f>
        <v>北京市经济技术开发区河西区X78C2地块B4综合性商业金融服务业用地出让国有建设用地使用权抵押价格预评估</v>
      </c>
      <c r="C1" s="3354"/>
      <c r="D1" s="3354"/>
      <c r="E1" s="3354"/>
      <c r="F1" s="3354"/>
      <c r="G1" s="3354"/>
      <c r="H1" s="3354"/>
      <c r="I1" s="3355"/>
      <c r="J1" s="1672"/>
      <c r="K1" s="2413" t="str">
        <f>IF(B10="北京市","北京市",C10)&amp;F10&amp;B16&amp;"国有建设用地使用权"&amp;B9</f>
        <v>北京市经济技术开发区河西区X78C2地块B4综合性商业金融服务业用地出让国有建设用地使用权抵押价格</v>
      </c>
      <c r="L1" s="1701"/>
      <c r="M1" s="1701"/>
      <c r="N1" s="1672"/>
      <c r="O1" s="1673"/>
      <c r="P1" s="1672"/>
      <c r="Q1" s="1672"/>
      <c r="R1" s="1672"/>
      <c r="S1" s="1672"/>
      <c r="T1" s="1672"/>
      <c r="U1" s="1672"/>
    </row>
    <row r="2" spans="1:21">
      <c r="A2" s="1638" t="s">
        <v>1936</v>
      </c>
      <c r="B2" s="1820"/>
      <c r="D2" s="1672"/>
      <c r="E2" s="1672"/>
      <c r="F2" s="1672"/>
      <c r="G2" s="1672"/>
      <c r="H2" s="1638"/>
      <c r="I2" s="1673"/>
      <c r="J2" s="1672"/>
      <c r="K2" s="2413" t="str">
        <f>IF(B10="北京市","北京市",C10)&amp;F10&amp;B16&amp;"国有建设用地使用权"</f>
        <v>北京市经济技术开发区河西区X78C2地块B4综合性商业金融服务业用地出让国有建设用地使用权</v>
      </c>
      <c r="L2" s="1701"/>
      <c r="M2" s="1701"/>
      <c r="N2" s="1672"/>
      <c r="O2" s="1673"/>
      <c r="P2" s="1672"/>
      <c r="Q2" s="1672"/>
      <c r="R2" s="1672"/>
      <c r="S2" s="1672"/>
      <c r="T2" s="1672"/>
      <c r="U2" s="1672"/>
    </row>
    <row r="3" spans="1:21">
      <c r="A3" s="1639" t="s">
        <v>1937</v>
      </c>
      <c r="B3" s="1640">
        <v>44027</v>
      </c>
      <c r="C3" s="1641" t="s">
        <v>1993</v>
      </c>
      <c r="D3" s="1640">
        <f>B3</f>
        <v>44027</v>
      </c>
      <c r="E3" s="1672"/>
      <c r="F3" s="1672"/>
      <c r="G3" s="1672"/>
      <c r="H3" s="1638"/>
      <c r="I3" s="1673"/>
      <c r="J3" s="1672"/>
      <c r="K3" s="1752"/>
      <c r="L3" s="1701"/>
      <c r="M3" s="1701"/>
      <c r="N3" s="1672"/>
      <c r="O3" s="1673"/>
      <c r="P3" s="1672"/>
      <c r="Q3" s="1672"/>
      <c r="R3" s="1672"/>
      <c r="S3" s="1672"/>
      <c r="T3" s="1672"/>
      <c r="U3" s="1672"/>
    </row>
    <row r="4" spans="1:21" ht="16.2" thickBot="1">
      <c r="A4" s="1642" t="s">
        <v>1938</v>
      </c>
      <c r="B4" s="1821" t="s">
        <v>2884</v>
      </c>
      <c r="C4" s="1824">
        <f>SUMIF(土地估价师,B4,估价师及机构信息!E3:E24)</f>
        <v>0</v>
      </c>
      <c r="D4" s="1821" t="s">
        <v>2884</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6.2" thickTop="1">
      <c r="A5" s="1643" t="s">
        <v>1939</v>
      </c>
      <c r="B5" s="1767" t="s">
        <v>3294</v>
      </c>
      <c r="C5" s="1644"/>
      <c r="D5" s="1645"/>
      <c r="E5" s="1672"/>
      <c r="F5" s="1672"/>
      <c r="G5" s="1672"/>
      <c r="H5" s="1638"/>
      <c r="I5" s="1673"/>
      <c r="J5" s="1672"/>
      <c r="K5" s="1752"/>
      <c r="L5" s="1701"/>
      <c r="M5" s="1701"/>
      <c r="N5" s="1672"/>
      <c r="O5" s="1673"/>
      <c r="P5" s="1672"/>
      <c r="Q5" s="1672"/>
      <c r="R5" s="1672"/>
      <c r="S5" s="1672"/>
      <c r="T5" s="1672"/>
      <c r="U5" s="1672"/>
    </row>
    <row r="6" spans="1:21" ht="18.75" customHeight="1">
      <c r="A6" s="1641" t="s">
        <v>2702</v>
      </c>
      <c r="B6" s="1767" t="s">
        <v>3277</v>
      </c>
      <c r="C6" s="1739"/>
      <c r="D6" s="1646"/>
      <c r="E6" s="1672"/>
      <c r="F6" s="1672"/>
      <c r="G6" s="1672"/>
      <c r="H6" s="1638"/>
      <c r="I6" s="1673"/>
      <c r="J6" s="1672"/>
      <c r="K6" s="2993" t="str">
        <f>IF(COUNTIF(B6,"*上海银行*"),"上海银行","")</f>
        <v/>
      </c>
      <c r="L6" s="1701"/>
      <c r="M6" s="1701"/>
      <c r="N6" s="1672"/>
      <c r="O6" s="1673"/>
      <c r="P6" s="1672"/>
      <c r="Q6" s="1672"/>
      <c r="R6" s="1672"/>
      <c r="S6" s="1672"/>
      <c r="T6" s="1672"/>
      <c r="U6" s="1672"/>
    </row>
    <row r="7" spans="1:21">
      <c r="A7" s="1647" t="s">
        <v>2703</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1940</v>
      </c>
      <c r="B8" s="1648" t="s">
        <v>2984</v>
      </c>
      <c r="C8" s="1649"/>
      <c r="D8" s="3359" t="s">
        <v>1942</v>
      </c>
      <c r="E8" s="1822" t="s">
        <v>3300</v>
      </c>
      <c r="F8" s="1650"/>
      <c r="G8" s="1638"/>
      <c r="H8" s="1638"/>
      <c r="I8" s="1685"/>
      <c r="J8" s="1672"/>
      <c r="K8" s="1752"/>
      <c r="L8" s="1701"/>
      <c r="M8" s="1701"/>
      <c r="N8" s="1672"/>
      <c r="O8" s="1673"/>
      <c r="P8" s="1672"/>
      <c r="Q8" s="1672"/>
      <c r="R8" s="1672"/>
      <c r="S8" s="1672"/>
      <c r="T8" s="1672"/>
      <c r="U8" s="1672"/>
    </row>
    <row r="9" spans="1:21" ht="16.2" thickBot="1">
      <c r="A9" s="1651" t="s">
        <v>1941</v>
      </c>
      <c r="B9" s="1652" t="s">
        <v>3300</v>
      </c>
      <c r="C9" s="1653"/>
      <c r="D9" s="3360"/>
      <c r="E9" s="1652" t="s">
        <v>952</v>
      </c>
      <c r="F9" s="1725"/>
      <c r="G9" s="1720"/>
      <c r="H9" s="1720"/>
      <c r="I9" s="1721"/>
      <c r="J9" s="1672"/>
      <c r="K9" s="1752"/>
      <c r="L9" s="1701"/>
      <c r="M9" s="1701"/>
      <c r="N9" s="1672"/>
      <c r="O9" s="1673"/>
      <c r="P9" s="1672"/>
      <c r="Q9" s="1672"/>
      <c r="R9" s="1672"/>
      <c r="S9" s="1672"/>
      <c r="T9" s="1672"/>
      <c r="U9" s="1672"/>
    </row>
    <row r="10" spans="1:21" ht="16.2" thickTop="1">
      <c r="A10" s="1722" t="s">
        <v>1997</v>
      </c>
      <c r="B10" s="1697" t="s">
        <v>1943</v>
      </c>
      <c r="C10" s="1654"/>
      <c r="D10" s="1645"/>
      <c r="E10" s="1655" t="s">
        <v>1944</v>
      </c>
      <c r="F10" s="1656" t="s">
        <v>3275</v>
      </c>
      <c r="G10" s="1723"/>
      <c r="H10" s="1724"/>
      <c r="I10" s="1645"/>
      <c r="J10" s="1672"/>
      <c r="K10" s="1752"/>
      <c r="L10" s="1701"/>
      <c r="M10" s="1701"/>
      <c r="N10" s="1672"/>
      <c r="O10" s="1673"/>
      <c r="P10" s="1672"/>
      <c r="Q10" s="1672"/>
      <c r="R10" s="1672"/>
      <c r="S10" s="1672"/>
      <c r="T10" s="1672"/>
      <c r="U10" s="1672"/>
    </row>
    <row r="11" spans="1:21">
      <c r="A11" s="1675" t="s">
        <v>1998</v>
      </c>
      <c r="B11" s="1676" t="s">
        <v>3276</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2056</v>
      </c>
      <c r="B12" s="3356" t="s">
        <v>3278</v>
      </c>
      <c r="C12" s="3357"/>
      <c r="D12" s="3358"/>
      <c r="E12" s="1677" t="s">
        <v>2059</v>
      </c>
      <c r="F12" s="3374" t="s">
        <v>2885</v>
      </c>
      <c r="G12" s="3375"/>
      <c r="H12" s="3375"/>
      <c r="I12" s="3376"/>
      <c r="J12" s="1672"/>
      <c r="K12" s="1752"/>
      <c r="L12" s="1701"/>
      <c r="M12" s="1701"/>
      <c r="N12" s="1672"/>
      <c r="O12" s="1673"/>
      <c r="P12" s="1672"/>
      <c r="Q12" s="1672"/>
      <c r="R12" s="1672"/>
      <c r="S12" s="1672"/>
      <c r="T12" s="1672"/>
      <c r="U12" s="1672"/>
    </row>
    <row r="13" spans="1:21">
      <c r="A13" s="1665" t="s">
        <v>2057</v>
      </c>
      <c r="B13" s="3356" t="str">
        <f>B12</f>
        <v>商业、办公</v>
      </c>
      <c r="C13" s="3357"/>
      <c r="D13" s="3358"/>
      <c r="E13" s="1677" t="s">
        <v>2059</v>
      </c>
      <c r="F13" s="3374" t="s">
        <v>2886</v>
      </c>
      <c r="G13" s="3375"/>
      <c r="H13" s="3375"/>
      <c r="I13" s="3376"/>
      <c r="J13" s="1672"/>
      <c r="K13" s="1752"/>
      <c r="L13" s="1701"/>
      <c r="M13" s="1701"/>
      <c r="N13" s="1672"/>
      <c r="O13" s="1673"/>
      <c r="P13" s="1672"/>
      <c r="Q13" s="1672"/>
      <c r="R13" s="1672"/>
      <c r="S13" s="1672"/>
      <c r="T13" s="1672"/>
      <c r="U13" s="1672"/>
    </row>
    <row r="14" spans="1:21">
      <c r="A14" s="1639" t="s">
        <v>2060</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1947</v>
      </c>
      <c r="E15" s="1744" t="s">
        <v>1948</v>
      </c>
      <c r="F15" s="1744" t="s">
        <v>1949</v>
      </c>
      <c r="G15" s="1664" t="s">
        <v>1950</v>
      </c>
      <c r="H15" s="1664" t="s">
        <v>1951</v>
      </c>
      <c r="I15" s="1664" t="s">
        <v>1952</v>
      </c>
      <c r="J15" s="1672"/>
      <c r="K15" s="1752"/>
      <c r="L15" s="1701"/>
      <c r="M15" s="1701"/>
      <c r="N15" s="1672"/>
      <c r="O15" s="1673"/>
      <c r="P15" s="1672"/>
      <c r="Q15" s="1672"/>
      <c r="R15" s="1672"/>
      <c r="S15" s="1672"/>
      <c r="T15" s="1672"/>
      <c r="U15" s="1672"/>
    </row>
    <row r="16" spans="1:21" ht="46.8">
      <c r="A16" s="1658" t="s">
        <v>1945</v>
      </c>
      <c r="B16" s="1659" t="s">
        <v>2979</v>
      </c>
      <c r="C16" s="1677" t="s">
        <v>1946</v>
      </c>
      <c r="D16" s="2604" t="s">
        <v>1947</v>
      </c>
      <c r="E16" s="1700" t="s">
        <v>2991</v>
      </c>
      <c r="F16" s="1700" t="s">
        <v>1677</v>
      </c>
      <c r="G16" s="1700" t="s">
        <v>2992</v>
      </c>
      <c r="H16" s="1700"/>
      <c r="I16" s="1664" t="s">
        <v>1952</v>
      </c>
      <c r="J16" s="1672"/>
      <c r="K16" s="2414" t="str">
        <f>IF(D17="","",D16&amp;TEXT(D17,"yyyy年m月d日;;"))</f>
        <v/>
      </c>
      <c r="L16" s="1677" t="str">
        <f>IF(OR(K16="",M16=""),"","、")</f>
        <v/>
      </c>
      <c r="M16" s="2414" t="str">
        <f>IF(E17="","",E16&amp;TEXT(E17,"yyyy年m月d日;;"))</f>
        <v>商业2059年9月11日</v>
      </c>
      <c r="N16" s="1677" t="str">
        <f>IF(OR(M16="",O16=""),"","、")</f>
        <v/>
      </c>
      <c r="O16" s="2414" t="str">
        <f>IF(F17="","",F16&amp;TEXT(F17,"yyyy年m月d日;;"))</f>
        <v/>
      </c>
      <c r="P16" s="1677" t="str">
        <f>IF(OR(O16="",Q16=""),"","、")</f>
        <v/>
      </c>
      <c r="Q16" s="2414" t="str">
        <f>IF(G17="","",G16&amp;TEXT(G17,"yyyy年m月d日;;"))</f>
        <v>车库2069年9月11日</v>
      </c>
      <c r="R16" s="1677" t="str">
        <f>IF(OR(Q16="",S16=""),"","、")</f>
        <v/>
      </c>
      <c r="S16" s="2414" t="str">
        <f>IF(H17="","",H16&amp;TEXT(H17,"yyyy年m月d日;;"))</f>
        <v/>
      </c>
      <c r="T16" s="1677" t="str">
        <f>IF(OR(S16="",U16=""),"","、")</f>
        <v/>
      </c>
      <c r="U16" s="2414" t="str">
        <f>IF(I17="","",I16&amp;TEXT(I17,"yyyy年m月d日;;"))</f>
        <v/>
      </c>
    </row>
    <row r="17" spans="1:21">
      <c r="A17" s="1741"/>
      <c r="B17" s="1660"/>
      <c r="C17" s="1661" t="s">
        <v>1953</v>
      </c>
      <c r="D17" s="1678"/>
      <c r="E17" s="1678">
        <v>58329</v>
      </c>
      <c r="F17" s="1678"/>
      <c r="G17" s="1678">
        <v>61982</v>
      </c>
      <c r="H17" s="1678"/>
      <c r="I17" s="1678"/>
      <c r="J17" s="1672"/>
      <c r="K17" s="2413" t="str">
        <f>CONCATENATE(K16,L16,M16,N16,O16,P16,Q16,R16,S16,T16,,U16)</f>
        <v>商业2059年9月11日车库2069年9月11日</v>
      </c>
      <c r="L17" s="1701"/>
      <c r="M17" s="1701"/>
      <c r="N17" s="1672"/>
      <c r="O17" s="1673"/>
      <c r="P17" s="1672"/>
      <c r="Q17" s="1672"/>
      <c r="R17" s="1672"/>
      <c r="S17" s="1672"/>
      <c r="T17" s="1672"/>
      <c r="U17" s="1672"/>
    </row>
    <row r="18" spans="1:21">
      <c r="A18" s="1741"/>
      <c r="B18" s="1660"/>
      <c r="C18" s="1661" t="s">
        <v>1954</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1955</v>
      </c>
      <c r="D19" s="1736" t="str">
        <f>IF(B16="出让",IF(D17="","",ROUNDDOWN(MIN((D17-$D$3)/365,D18),2)),D18)</f>
        <v/>
      </c>
      <c r="E19" s="1663">
        <f>IF(B16="出让",IF(E17="","",ROUNDDOWN(MIN((E17-$D$3)/365,E18),2)),E18)</f>
        <v>39.18</v>
      </c>
      <c r="F19" s="1663" t="str">
        <f>IF(B16="出让",IF(F17="","",ROUNDDOWN(MIN((F17-$D$3)/365,F18),2)),F18)</f>
        <v/>
      </c>
      <c r="G19" s="1663">
        <f>IF(B16="出让",IF(G17="","",ROUNDDOWN(MIN((G17-$D$3)/365,G18),2)),G18)</f>
        <v>49.19</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2058</v>
      </c>
      <c r="D20" s="3371"/>
      <c r="E20" s="3372"/>
      <c r="F20" s="3372"/>
      <c r="G20" s="3372"/>
      <c r="H20" s="3372"/>
      <c r="I20" s="3373"/>
      <c r="J20" s="1672"/>
      <c r="K20" s="1752"/>
      <c r="L20" s="1701"/>
      <c r="M20" s="1701"/>
      <c r="N20" s="1672"/>
      <c r="O20" s="1673"/>
      <c r="P20" s="1672"/>
      <c r="Q20" s="1672"/>
      <c r="R20" s="1672"/>
      <c r="S20" s="1672"/>
      <c r="T20" s="1672"/>
      <c r="U20" s="1672"/>
    </row>
    <row r="21" spans="1:21">
      <c r="A21" s="1741" t="s">
        <v>1956</v>
      </c>
      <c r="B21" s="1742" t="s">
        <v>1957</v>
      </c>
      <c r="C21" s="1737">
        <f>'数据-汇总表'!E3</f>
        <v>155053</v>
      </c>
      <c r="D21" s="1738" t="s">
        <v>1958</v>
      </c>
      <c r="E21" s="3361" t="s">
        <v>1996</v>
      </c>
      <c r="F21" s="3362"/>
      <c r="G21" s="3362"/>
      <c r="H21" s="3362"/>
      <c r="I21" s="3363"/>
      <c r="J21" s="1672"/>
      <c r="K21" s="1752"/>
      <c r="L21" s="1701"/>
      <c r="M21" s="1701"/>
      <c r="N21" s="1672"/>
      <c r="O21" s="1673"/>
      <c r="P21" s="1672"/>
      <c r="Q21" s="1672"/>
      <c r="R21" s="1672"/>
      <c r="S21" s="1672"/>
      <c r="T21" s="1672"/>
      <c r="U21" s="1672"/>
    </row>
    <row r="22" spans="1:21">
      <c r="A22" s="3082" t="s">
        <v>952</v>
      </c>
      <c r="B22" s="1639" t="s">
        <v>1959</v>
      </c>
      <c r="C22" s="1664">
        <f>'数据-汇总表'!D3</f>
        <v>40278.800000000003</v>
      </c>
      <c r="D22" s="1665" t="s">
        <v>1958</v>
      </c>
      <c r="E22" s="3361" t="s">
        <v>2887</v>
      </c>
      <c r="F22" s="3362"/>
      <c r="G22" s="3362"/>
      <c r="H22" s="3362"/>
      <c r="I22" s="3363"/>
      <c r="J22" s="1672"/>
      <c r="K22" s="1752"/>
      <c r="L22" s="1701"/>
      <c r="M22" s="1701"/>
      <c r="N22" s="1672"/>
      <c r="O22" s="1673"/>
      <c r="P22" s="1672"/>
      <c r="Q22" s="1672"/>
      <c r="R22" s="1672"/>
      <c r="S22" s="1672"/>
      <c r="T22" s="1672"/>
      <c r="U22" s="1672"/>
    </row>
    <row r="23" spans="1:21" ht="31.8" thickBot="1">
      <c r="A23" s="1743" t="s">
        <v>1960</v>
      </c>
      <c r="B23" s="1679" t="s">
        <v>1961</v>
      </c>
      <c r="C23" s="1680"/>
      <c r="D23" s="1681" t="s">
        <v>1962</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1963</v>
      </c>
      <c r="B24" s="3364" t="s">
        <v>1964</v>
      </c>
      <c r="C24" s="3365"/>
      <c r="D24" s="3366" t="s">
        <v>1965</v>
      </c>
      <c r="E24" s="3367"/>
      <c r="F24" s="1686" t="s">
        <v>1966</v>
      </c>
      <c r="G24" s="1672"/>
      <c r="H24" s="1672"/>
      <c r="I24" s="1685"/>
      <c r="J24" s="1672"/>
      <c r="K24" s="3352" t="s">
        <v>1967</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31.2">
      <c r="A25" s="1729"/>
      <c r="B25" s="1726" t="s">
        <v>2323</v>
      </c>
      <c r="C25" s="1687" t="s">
        <v>1968</v>
      </c>
      <c r="D25" s="1688"/>
      <c r="E25" s="1689" t="s">
        <v>952</v>
      </c>
      <c r="F25" s="1690"/>
      <c r="G25" s="1672"/>
      <c r="H25" s="1672"/>
      <c r="I25" s="1685"/>
      <c r="J25" s="1672"/>
      <c r="K25" s="3352"/>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31.8" thickBot="1">
      <c r="A26" s="1730"/>
      <c r="B26" s="1727" t="s">
        <v>1969</v>
      </c>
      <c r="C26" s="1687" t="s">
        <v>2324</v>
      </c>
      <c r="D26" s="1638"/>
      <c r="E26" s="1638"/>
      <c r="F26" s="1666"/>
      <c r="G26" s="1672"/>
      <c r="H26" s="1672"/>
      <c r="I26" s="1685"/>
      <c r="J26" s="1672"/>
      <c r="K26" s="3352"/>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1970</v>
      </c>
      <c r="B27" s="1731" t="s">
        <v>1971</v>
      </c>
      <c r="C27" s="1691"/>
      <c r="D27" s="2609" t="s">
        <v>1971</v>
      </c>
      <c r="E27" s="1692"/>
      <c r="F27" s="1666"/>
      <c r="G27" s="1672"/>
      <c r="H27" s="1672"/>
      <c r="I27" s="1685"/>
      <c r="J27" s="1672"/>
      <c r="K27" s="1752"/>
      <c r="L27" s="1701"/>
      <c r="M27" s="1701"/>
      <c r="N27" s="1672"/>
      <c r="O27" s="1673"/>
      <c r="P27" s="1672"/>
      <c r="Q27" s="1672"/>
      <c r="R27" s="1672"/>
      <c r="S27" s="1672"/>
      <c r="T27" s="1672"/>
      <c r="U27" s="1672"/>
    </row>
    <row r="28" spans="1:21">
      <c r="A28" s="1734"/>
      <c r="B28" s="1731" t="s">
        <v>1972</v>
      </c>
      <c r="C28" s="1693"/>
      <c r="D28" s="2610" t="s">
        <v>1972</v>
      </c>
      <c r="E28" s="1694"/>
      <c r="F28" s="1666"/>
      <c r="G28" s="1672"/>
      <c r="H28" s="1672"/>
      <c r="I28" s="1685"/>
      <c r="J28" s="1672"/>
      <c r="K28" s="1752"/>
      <c r="L28" s="1701"/>
      <c r="M28" s="1701"/>
      <c r="N28" s="1672"/>
      <c r="O28" s="1673"/>
      <c r="P28" s="1672"/>
      <c r="Q28" s="1672"/>
      <c r="R28" s="1672"/>
      <c r="S28" s="1672"/>
      <c r="T28" s="1672"/>
      <c r="U28" s="1672"/>
    </row>
    <row r="29" spans="1:21">
      <c r="A29" s="1734"/>
      <c r="B29" s="1731" t="s">
        <v>1973</v>
      </c>
      <c r="C29" s="1693"/>
      <c r="D29" s="2610" t="s">
        <v>1973</v>
      </c>
      <c r="E29" s="1694"/>
      <c r="F29" s="1666"/>
      <c r="G29" s="1672"/>
      <c r="H29" s="1672"/>
      <c r="I29" s="1685"/>
      <c r="J29" s="1672"/>
      <c r="K29" s="1752"/>
      <c r="L29" s="1701"/>
      <c r="M29" s="1701"/>
      <c r="N29" s="1672"/>
      <c r="O29" s="1673"/>
      <c r="P29" s="1672"/>
      <c r="Q29" s="1672"/>
      <c r="R29" s="1672"/>
      <c r="S29" s="1672"/>
      <c r="T29" s="1672"/>
      <c r="U29" s="1672"/>
    </row>
    <row r="30" spans="1:21" ht="16.2" thickBot="1">
      <c r="A30" s="1735"/>
      <c r="B30" s="1732" t="s">
        <v>1974</v>
      </c>
      <c r="C30" s="1695"/>
      <c r="D30" s="2611" t="s">
        <v>1974</v>
      </c>
      <c r="E30" s="1696"/>
      <c r="F30" s="1667"/>
      <c r="G30" s="1720"/>
      <c r="H30" s="1720"/>
      <c r="I30" s="1721"/>
      <c r="J30" s="1672"/>
      <c r="K30" s="1752"/>
      <c r="L30" s="1701"/>
      <c r="M30" s="1701"/>
      <c r="N30" s="1672"/>
      <c r="O30" s="1673"/>
      <c r="P30" s="1672"/>
      <c r="Q30" s="1672"/>
      <c r="R30" s="1672"/>
      <c r="S30" s="1672"/>
      <c r="T30" s="1672"/>
      <c r="U30" s="1672"/>
    </row>
    <row r="31" spans="1:21" ht="16.2" thickTop="1">
      <c r="A31" s="3338" t="s">
        <v>1999</v>
      </c>
      <c r="B31" s="1742" t="s">
        <v>2000</v>
      </c>
      <c r="C31" s="3377"/>
      <c r="D31" s="3378"/>
      <c r="E31" s="1672"/>
      <c r="F31" s="1672"/>
      <c r="G31" s="1672"/>
      <c r="H31" s="1672"/>
      <c r="I31" s="1685"/>
      <c r="J31" s="1672"/>
      <c r="K31" s="2416"/>
      <c r="L31" s="1672"/>
      <c r="M31" s="1672"/>
      <c r="N31" s="1672"/>
      <c r="O31" s="1672"/>
      <c r="P31" s="1672"/>
      <c r="Q31" s="1672"/>
      <c r="R31" s="1672"/>
      <c r="S31" s="1672"/>
      <c r="T31" s="1672"/>
      <c r="U31" s="1672"/>
    </row>
    <row r="32" spans="1:21">
      <c r="A32" s="3338"/>
      <c r="B32" s="1639" t="s">
        <v>2001</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338"/>
      <c r="B33" s="1639" t="s">
        <v>2002</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339"/>
      <c r="B34" s="1639" t="s">
        <v>2003</v>
      </c>
      <c r="C34" s="3340"/>
      <c r="D34" s="3341"/>
      <c r="E34" s="1672"/>
      <c r="F34" s="1672"/>
      <c r="G34" s="1672"/>
      <c r="H34" s="1672"/>
      <c r="I34" s="1685"/>
      <c r="J34" s="1672"/>
      <c r="K34" s="2416"/>
      <c r="L34" s="1672"/>
      <c r="M34" s="1672"/>
      <c r="N34" s="1672"/>
      <c r="O34" s="1672"/>
      <c r="P34" s="1672"/>
      <c r="Q34" s="1672"/>
      <c r="R34" s="1672"/>
      <c r="S34" s="1672"/>
      <c r="T34" s="1672"/>
      <c r="U34" s="1672"/>
    </row>
    <row r="35" spans="1:21">
      <c r="A35" s="3342" t="s">
        <v>847</v>
      </c>
      <c r="B35" s="1700"/>
      <c r="C35" s="1754" t="str">
        <f>IF(B35="场地平整","——","具体情况：")</f>
        <v>具体情况：</v>
      </c>
      <c r="D35" s="3344"/>
      <c r="E35" s="3345"/>
      <c r="F35" s="3345"/>
      <c r="G35" s="3345"/>
      <c r="H35" s="3345"/>
      <c r="I35" s="3346"/>
      <c r="J35" s="1672"/>
      <c r="K35" s="1753"/>
      <c r="L35" s="1701"/>
      <c r="M35" s="1701"/>
      <c r="N35" s="1672"/>
      <c r="O35" s="1673"/>
      <c r="P35" s="1672"/>
      <c r="Q35" s="1672"/>
      <c r="R35" s="1672"/>
      <c r="S35" s="1672"/>
      <c r="T35" s="1672"/>
      <c r="U35" s="1672"/>
    </row>
    <row r="36" spans="1:21">
      <c r="A36" s="3338"/>
      <c r="B36" s="3347" t="s">
        <v>2052</v>
      </c>
      <c r="C36" s="3348"/>
      <c r="D36" s="1770" t="s">
        <v>3279</v>
      </c>
      <c r="E36" s="3349"/>
      <c r="F36" s="3349"/>
      <c r="G36" s="1665" t="str">
        <f>IF(B35="场地未平整","估价结果处理","")</f>
        <v/>
      </c>
      <c r="H36" s="3350"/>
      <c r="I36" s="3350"/>
      <c r="J36" s="1672"/>
      <c r="K36" s="1753"/>
      <c r="L36" s="1701"/>
      <c r="M36" s="1701"/>
      <c r="N36" s="1672"/>
      <c r="O36" s="1673"/>
      <c r="P36" s="1672"/>
      <c r="Q36" s="1672"/>
      <c r="R36" s="1672"/>
      <c r="S36" s="1672"/>
      <c r="T36" s="1672"/>
      <c r="U36" s="1672"/>
    </row>
    <row r="37" spans="1:21" ht="31.2">
      <c r="A37" s="3338"/>
      <c r="B37" s="3368"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338"/>
      <c r="B38" s="3369"/>
      <c r="C38" s="1647" t="s">
        <v>850</v>
      </c>
      <c r="D38" s="1769">
        <f>ROUNDDOWN(MIN(('数据-取费表'!$B$2-D37)/365,D34),1)</f>
        <v>120.6</v>
      </c>
      <c r="E38" s="1705" t="s">
        <v>851</v>
      </c>
      <c r="F38" s="1672"/>
      <c r="G38" s="1672"/>
      <c r="H38" s="1672"/>
      <c r="I38" s="1685"/>
      <c r="J38" s="1672"/>
      <c r="K38" s="1753"/>
      <c r="L38" s="1672"/>
      <c r="M38" s="1672"/>
      <c r="N38" s="1672"/>
      <c r="O38" s="1672"/>
      <c r="P38" s="1672"/>
      <c r="Q38" s="1672"/>
      <c r="R38" s="1672"/>
      <c r="S38" s="1672"/>
      <c r="T38" s="1672"/>
      <c r="U38" s="1672"/>
    </row>
    <row r="39" spans="1:21">
      <c r="A39" s="3339"/>
      <c r="B39" s="3370"/>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1975</v>
      </c>
      <c r="B40" s="1668"/>
      <c r="C40" s="1668"/>
      <c r="D40" s="1668"/>
      <c r="E40" s="1668"/>
      <c r="F40" s="1668"/>
      <c r="G40" s="1668"/>
      <c r="H40" s="1668"/>
      <c r="I40" s="1685"/>
      <c r="J40" s="1672"/>
      <c r="K40" s="1708">
        <f>COUNTIF(B40:H40,"——")</f>
        <v>0</v>
      </c>
      <c r="L40" s="1677" t="s">
        <v>1976</v>
      </c>
      <c r="M40" s="1674" t="s">
        <v>1977</v>
      </c>
      <c r="N40" s="1674" t="s">
        <v>1978</v>
      </c>
      <c r="O40" s="1674" t="s">
        <v>1979</v>
      </c>
      <c r="P40" s="1674" t="s">
        <v>1980</v>
      </c>
      <c r="Q40" s="1674" t="s">
        <v>1981</v>
      </c>
      <c r="R40" s="1674" t="s">
        <v>1982</v>
      </c>
      <c r="S40" s="3351" t="s">
        <v>1983</v>
      </c>
      <c r="T40" s="1709" t="str">
        <f>NUMBERSTRING(7-K40,1)&amp;"通"</f>
        <v>七通</v>
      </c>
      <c r="U40" s="1672"/>
    </row>
    <row r="41" spans="1:21">
      <c r="A41" s="1641"/>
      <c r="B41" s="3343" t="s">
        <v>1721</v>
      </c>
      <c r="C41" s="3343"/>
      <c r="D41" s="3343"/>
      <c r="E41" s="3343"/>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351"/>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1413</v>
      </c>
      <c r="C43" s="1716" t="s">
        <v>1413</v>
      </c>
      <c r="D43" s="1716" t="s">
        <v>1413</v>
      </c>
      <c r="E43" s="1716" t="s">
        <v>1413</v>
      </c>
      <c r="F43" s="1717"/>
      <c r="G43" s="1672"/>
      <c r="H43" s="1672"/>
      <c r="I43" s="1685"/>
      <c r="J43" s="1672"/>
      <c r="K43" s="1752"/>
      <c r="L43" s="1701"/>
      <c r="M43" s="1701"/>
      <c r="N43" s="1672"/>
      <c r="O43" s="1673"/>
      <c r="P43" s="1672"/>
      <c r="Q43" s="1672"/>
      <c r="R43" s="1672"/>
      <c r="S43" s="1672"/>
      <c r="T43" s="1672"/>
      <c r="U43" s="1672"/>
    </row>
    <row r="44" spans="1:21">
      <c r="A44" s="1715" t="s">
        <v>1707</v>
      </c>
      <c r="B44" s="1716" t="s">
        <v>3239</v>
      </c>
      <c r="C44" s="1716" t="s">
        <v>3239</v>
      </c>
      <c r="D44" s="1716" t="s">
        <v>3239</v>
      </c>
      <c r="E44" s="1716" t="s">
        <v>3239</v>
      </c>
      <c r="F44" s="1717"/>
      <c r="G44" s="1672"/>
      <c r="H44" s="1672"/>
      <c r="I44" s="1685"/>
      <c r="J44" s="1672"/>
      <c r="K44" s="1752"/>
      <c r="L44" s="1701"/>
      <c r="M44" s="1701"/>
      <c r="N44" s="1672"/>
      <c r="O44" s="1673"/>
      <c r="P44" s="1672"/>
      <c r="Q44" s="1672"/>
      <c r="R44" s="1672"/>
      <c r="S44" s="1672"/>
      <c r="T44" s="1672"/>
      <c r="U44" s="1672"/>
    </row>
    <row r="45" spans="1:21" s="3010" customFormat="1" ht="21" thickBot="1">
      <c r="A45" s="3011" t="s">
        <v>2888</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2004</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46.8">
      <c r="A48" s="1677" t="s">
        <v>2005</v>
      </c>
      <c r="B48" s="1664" t="s">
        <v>2006</v>
      </c>
      <c r="C48" s="1664" t="s">
        <v>2007</v>
      </c>
      <c r="D48" s="1664" t="s">
        <v>2008</v>
      </c>
      <c r="E48" s="1664" t="s">
        <v>2009</v>
      </c>
      <c r="F48" s="1664" t="s">
        <v>2010</v>
      </c>
      <c r="G48" s="1664" t="s">
        <v>2011</v>
      </c>
      <c r="H48" s="1664" t="s">
        <v>2012</v>
      </c>
      <c r="I48" s="1664" t="s">
        <v>2013</v>
      </c>
      <c r="J48" s="1750" t="s">
        <v>2014</v>
      </c>
      <c r="K48" s="1744" t="s">
        <v>2015</v>
      </c>
      <c r="L48" s="1744" t="s">
        <v>2016</v>
      </c>
      <c r="M48" s="1744" t="s">
        <v>2017</v>
      </c>
      <c r="N48" s="1664" t="s">
        <v>2018</v>
      </c>
      <c r="O48" s="1664" t="s">
        <v>2019</v>
      </c>
      <c r="P48" s="1664" t="s">
        <v>2020</v>
      </c>
      <c r="Q48" s="1677" t="s">
        <v>2021</v>
      </c>
      <c r="R48" s="1677" t="s">
        <v>2022</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27"/>
  <sheetViews>
    <sheetView workbookViewId="0">
      <selection activeCell="J15" sqref="J15"/>
    </sheetView>
  </sheetViews>
  <sheetFormatPr defaultColWidth="9" defaultRowHeight="13.8"/>
  <cols>
    <col min="1" max="1" width="5.44140625" style="3270" customWidth="1"/>
    <col min="2" max="2" width="21.6640625" style="3270" bestFit="1" customWidth="1"/>
    <col min="3" max="4" width="9" style="3270"/>
    <col min="5" max="5" width="8.44140625" style="3270" bestFit="1" customWidth="1"/>
    <col min="6" max="6" width="42" style="3270" bestFit="1" customWidth="1"/>
    <col min="7" max="16384" width="9" style="3270"/>
  </cols>
  <sheetData>
    <row r="1" spans="1:10" ht="14.4" thickBot="1"/>
    <row r="2" spans="1:10" ht="18" thickBot="1">
      <c r="A2" s="3379" t="s">
        <v>3199</v>
      </c>
      <c r="B2" s="3380"/>
      <c r="C2" s="3380"/>
      <c r="D2" s="3380"/>
      <c r="E2" s="3380"/>
      <c r="F2" s="3381"/>
    </row>
    <row r="3" spans="1:10" ht="16.2" thickBot="1">
      <c r="A3" s="3271" t="s">
        <v>3174</v>
      </c>
      <c r="B3" s="3272" t="s">
        <v>3175</v>
      </c>
      <c r="C3" s="3382" t="s">
        <v>3176</v>
      </c>
      <c r="D3" s="3383"/>
      <c r="E3" s="3384"/>
      <c r="F3" s="3273" t="s">
        <v>3177</v>
      </c>
    </row>
    <row r="4" spans="1:10" ht="16.2" thickBot="1">
      <c r="A4" s="3271">
        <v>1</v>
      </c>
      <c r="B4" s="3272" t="s">
        <v>3178</v>
      </c>
      <c r="C4" s="3382">
        <v>26881</v>
      </c>
      <c r="D4" s="3383"/>
      <c r="E4" s="3384"/>
      <c r="F4" s="3272"/>
    </row>
    <row r="5" spans="1:10" ht="16.2" thickBot="1">
      <c r="A5" s="3271">
        <v>2</v>
      </c>
      <c r="B5" s="3272" t="s">
        <v>3179</v>
      </c>
      <c r="C5" s="3382">
        <v>327249</v>
      </c>
      <c r="D5" s="3383"/>
      <c r="E5" s="3384"/>
      <c r="F5" s="3272"/>
    </row>
    <row r="6" spans="1:10" ht="16.2" thickBot="1">
      <c r="A6" s="3385">
        <v>3</v>
      </c>
      <c r="B6" s="3272" t="s">
        <v>3180</v>
      </c>
      <c r="C6" s="3382">
        <v>262501</v>
      </c>
      <c r="D6" s="3383"/>
      <c r="E6" s="3384"/>
      <c r="F6" s="3272"/>
    </row>
    <row r="7" spans="1:10" ht="16.2" thickBot="1">
      <c r="A7" s="3386"/>
      <c r="B7" s="3272" t="s">
        <v>3181</v>
      </c>
      <c r="C7" s="3382">
        <v>115893</v>
      </c>
      <c r="D7" s="3383"/>
      <c r="E7" s="3384"/>
      <c r="F7" s="3272"/>
    </row>
    <row r="8" spans="1:10" ht="16.2" thickBot="1">
      <c r="A8" s="3386"/>
      <c r="B8" s="3272" t="s">
        <v>3182</v>
      </c>
      <c r="C8" s="3382" t="s">
        <v>3200</v>
      </c>
      <c r="D8" s="3383"/>
      <c r="E8" s="3384"/>
      <c r="F8" s="3273" t="s">
        <v>3201</v>
      </c>
    </row>
    <row r="9" spans="1:10" ht="16.2" thickBot="1">
      <c r="A9" s="3386"/>
      <c r="B9" s="3272" t="s">
        <v>3183</v>
      </c>
      <c r="C9" s="3382" t="s">
        <v>3202</v>
      </c>
      <c r="D9" s="3383"/>
      <c r="E9" s="3384"/>
      <c r="F9" s="3272" t="s">
        <v>3203</v>
      </c>
    </row>
    <row r="10" spans="1:10" ht="16.2" thickBot="1">
      <c r="A10" s="3386"/>
      <c r="B10" s="3272" t="s">
        <v>3184</v>
      </c>
      <c r="C10" s="3382" t="s">
        <v>3204</v>
      </c>
      <c r="D10" s="3383"/>
      <c r="E10" s="3384"/>
      <c r="F10" s="3272" t="s">
        <v>3205</v>
      </c>
    </row>
    <row r="11" spans="1:10" ht="16.2" thickBot="1">
      <c r="A11" s="3386"/>
      <c r="B11" s="3272" t="s">
        <v>3185</v>
      </c>
      <c r="C11" s="3382" t="s">
        <v>3206</v>
      </c>
      <c r="D11" s="3383"/>
      <c r="E11" s="3384"/>
      <c r="F11" s="3272" t="s">
        <v>3207</v>
      </c>
    </row>
    <row r="12" spans="1:10" ht="16.2" thickBot="1">
      <c r="A12" s="3386"/>
      <c r="B12" s="3272" t="s">
        <v>3186</v>
      </c>
      <c r="C12" s="3382" t="s">
        <v>3208</v>
      </c>
      <c r="D12" s="3383"/>
      <c r="E12" s="3384"/>
      <c r="F12" s="3272" t="s">
        <v>3209</v>
      </c>
    </row>
    <row r="13" spans="1:10" ht="16.2" thickBot="1">
      <c r="A13" s="3386"/>
      <c r="B13" s="3272" t="s">
        <v>3210</v>
      </c>
      <c r="C13" s="3382">
        <v>74553</v>
      </c>
      <c r="D13" s="3383"/>
      <c r="E13" s="3384"/>
      <c r="F13" s="3272"/>
      <c r="G13" s="3279" t="s">
        <v>3227</v>
      </c>
      <c r="H13" s="3279" t="s">
        <v>3229</v>
      </c>
      <c r="I13" s="3279" t="s">
        <v>3230</v>
      </c>
      <c r="J13" s="3281" t="s">
        <v>3231</v>
      </c>
    </row>
    <row r="14" spans="1:10" ht="16.2" thickBot="1">
      <c r="A14" s="3386"/>
      <c r="B14" s="3385" t="s">
        <v>3187</v>
      </c>
      <c r="C14" s="3274"/>
      <c r="D14" s="3388" t="s">
        <v>3211</v>
      </c>
      <c r="E14" s="3389"/>
      <c r="F14" s="3272" t="s">
        <v>3212</v>
      </c>
      <c r="G14" s="3280">
        <v>1</v>
      </c>
      <c r="H14" s="3270">
        <v>1</v>
      </c>
      <c r="I14" s="3270">
        <v>14788</v>
      </c>
      <c r="J14" s="3270">
        <v>28000</v>
      </c>
    </row>
    <row r="15" spans="1:10" ht="16.2" thickBot="1">
      <c r="A15" s="3386"/>
      <c r="B15" s="3386"/>
      <c r="C15" s="3274">
        <v>53945</v>
      </c>
      <c r="D15" s="3388" t="s">
        <v>3213</v>
      </c>
      <c r="E15" s="3389"/>
      <c r="F15" s="3272" t="s">
        <v>3214</v>
      </c>
      <c r="G15" s="3280">
        <v>2</v>
      </c>
      <c r="H15" s="3270">
        <v>0.7</v>
      </c>
      <c r="I15" s="3270">
        <v>14220</v>
      </c>
      <c r="J15" s="3270">
        <f>J14*H15</f>
        <v>19600</v>
      </c>
    </row>
    <row r="16" spans="1:10" ht="16.2" thickBot="1">
      <c r="A16" s="3386"/>
      <c r="B16" s="3386"/>
      <c r="C16" s="3275"/>
      <c r="D16" s="3388" t="s">
        <v>3215</v>
      </c>
      <c r="E16" s="3389"/>
      <c r="F16" s="3272" t="s">
        <v>3216</v>
      </c>
      <c r="G16" s="3280">
        <v>3</v>
      </c>
      <c r="H16" s="3270">
        <v>0.6</v>
      </c>
      <c r="I16" s="3270">
        <v>12789</v>
      </c>
      <c r="J16" s="3270">
        <f>J14*H16</f>
        <v>16800</v>
      </c>
    </row>
    <row r="17" spans="1:10" ht="16.2" thickBot="1">
      <c r="A17" s="3387"/>
      <c r="B17" s="3387"/>
      <c r="C17" s="3276"/>
      <c r="D17" s="3388" t="s">
        <v>3217</v>
      </c>
      <c r="E17" s="3389"/>
      <c r="F17" s="3272" t="s">
        <v>3216</v>
      </c>
      <c r="G17" s="3280">
        <v>4</v>
      </c>
      <c r="H17" s="3270">
        <v>0.5</v>
      </c>
      <c r="I17" s="3270">
        <v>12148</v>
      </c>
      <c r="J17" s="3270">
        <f>J14*H17</f>
        <v>14000</v>
      </c>
    </row>
    <row r="18" spans="1:10" ht="16.2" thickBot="1">
      <c r="A18" s="3385">
        <v>4</v>
      </c>
      <c r="B18" s="3272" t="s">
        <v>3188</v>
      </c>
      <c r="C18" s="3382">
        <v>64748</v>
      </c>
      <c r="D18" s="3383"/>
      <c r="E18" s="3384"/>
      <c r="F18" s="3272"/>
      <c r="G18" s="3280" t="s">
        <v>3228</v>
      </c>
      <c r="H18" s="3270">
        <v>0.4</v>
      </c>
      <c r="I18" s="3270">
        <f>C19</f>
        <v>20608</v>
      </c>
      <c r="J18" s="3270">
        <f>J14*H18</f>
        <v>11200</v>
      </c>
    </row>
    <row r="19" spans="1:10" ht="16.2" thickBot="1">
      <c r="A19" s="3386"/>
      <c r="B19" s="3272" t="s">
        <v>3189</v>
      </c>
      <c r="C19" s="3382">
        <v>20608</v>
      </c>
      <c r="D19" s="3383"/>
      <c r="E19" s="3384"/>
      <c r="F19" s="3273"/>
      <c r="J19" s="3270">
        <f>SUMPRODUCT(J14:J18,I14:I18)/SUM(I14:I18)</f>
        <v>17551.443939211033</v>
      </c>
    </row>
    <row r="20" spans="1:10" ht="16.2" thickBot="1">
      <c r="A20" s="3386"/>
      <c r="B20" s="3272" t="s">
        <v>3218</v>
      </c>
      <c r="C20" s="3382" t="s">
        <v>3219</v>
      </c>
      <c r="D20" s="3383"/>
      <c r="E20" s="3384"/>
      <c r="F20" s="3272"/>
    </row>
    <row r="21" spans="1:10" ht="31.8" thickBot="1">
      <c r="A21" s="3386"/>
      <c r="B21" s="3274" t="s">
        <v>3190</v>
      </c>
      <c r="C21" s="3390">
        <v>44140</v>
      </c>
      <c r="D21" s="3391"/>
      <c r="E21" s="3277" t="s">
        <v>3220</v>
      </c>
      <c r="F21" s="3278" t="s">
        <v>3191</v>
      </c>
    </row>
    <row r="22" spans="1:10" ht="31.8" thickBot="1">
      <c r="A22" s="3387"/>
      <c r="B22" s="3272" t="s">
        <v>3221</v>
      </c>
      <c r="C22" s="3392"/>
      <c r="D22" s="3393"/>
      <c r="E22" s="3277" t="s">
        <v>3222</v>
      </c>
      <c r="F22" s="3278" t="s">
        <v>3192</v>
      </c>
    </row>
    <row r="23" spans="1:10" ht="16.2" thickBot="1">
      <c r="A23" s="3385"/>
      <c r="B23" s="3272" t="s">
        <v>3193</v>
      </c>
      <c r="C23" s="3382" t="s">
        <v>3223</v>
      </c>
      <c r="D23" s="3383"/>
      <c r="E23" s="3384"/>
      <c r="F23" s="3272"/>
    </row>
    <row r="24" spans="1:10" ht="16.2" thickBot="1">
      <c r="A24" s="3386"/>
      <c r="B24" s="3272" t="s">
        <v>3194</v>
      </c>
      <c r="C24" s="3382" t="s">
        <v>3224</v>
      </c>
      <c r="D24" s="3383"/>
      <c r="E24" s="3384"/>
      <c r="F24" s="3272"/>
    </row>
    <row r="25" spans="1:10" ht="16.2" thickBot="1">
      <c r="A25" s="3387"/>
      <c r="B25" s="3272" t="s">
        <v>3195</v>
      </c>
      <c r="C25" s="3382" t="s">
        <v>3232</v>
      </c>
      <c r="D25" s="3383"/>
      <c r="E25" s="3384"/>
      <c r="F25" s="3272" t="s">
        <v>3225</v>
      </c>
    </row>
    <row r="26" spans="1:10" ht="16.2" thickBot="1">
      <c r="A26" s="3271">
        <v>5</v>
      </c>
      <c r="B26" s="3272" t="s">
        <v>3196</v>
      </c>
      <c r="C26" s="3382">
        <v>9.77</v>
      </c>
      <c r="D26" s="3383"/>
      <c r="E26" s="3384"/>
      <c r="F26" s="3272"/>
    </row>
    <row r="27" spans="1:10" ht="16.2" thickBot="1">
      <c r="A27" s="3271">
        <v>6</v>
      </c>
      <c r="B27" s="3272" t="s">
        <v>3197</v>
      </c>
      <c r="C27" s="3382">
        <v>238657</v>
      </c>
      <c r="D27" s="3383"/>
      <c r="E27" s="3384"/>
      <c r="F27" s="3272" t="s">
        <v>3198</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39"/>
  <sheetViews>
    <sheetView topLeftCell="A13" workbookViewId="0">
      <selection activeCell="J22" activeCellId="2" sqref="E17 E30 J22"/>
    </sheetView>
  </sheetViews>
  <sheetFormatPr defaultColWidth="9" defaultRowHeight="12"/>
  <cols>
    <col min="1" max="16384" width="9" style="3228"/>
  </cols>
  <sheetData>
    <row r="1" spans="1:8" ht="12.6" thickBot="1">
      <c r="A1" s="3441" t="s">
        <v>3107</v>
      </c>
      <c r="B1" s="3442"/>
      <c r="C1" s="3442"/>
      <c r="D1" s="3442"/>
      <c r="E1" s="3442"/>
      <c r="F1" s="3442"/>
      <c r="G1" s="3442"/>
      <c r="H1" s="3443"/>
    </row>
    <row r="2" spans="1:8" ht="31.2">
      <c r="A2" s="3431" t="s">
        <v>2374</v>
      </c>
      <c r="B2" s="3432"/>
      <c r="C2" s="3432"/>
      <c r="D2" s="3433"/>
      <c r="E2" s="3229" t="s">
        <v>3108</v>
      </c>
      <c r="F2" s="3229" t="s">
        <v>3109</v>
      </c>
      <c r="G2" s="3229" t="s">
        <v>3110</v>
      </c>
      <c r="H2" s="3230" t="s">
        <v>3111</v>
      </c>
    </row>
    <row r="3" spans="1:8" ht="15.6">
      <c r="A3" s="3431" t="s">
        <v>3112</v>
      </c>
      <c r="B3" s="3432"/>
      <c r="C3" s="3432"/>
      <c r="D3" s="3433"/>
      <c r="E3" s="3231">
        <v>53630</v>
      </c>
      <c r="F3" s="3231"/>
      <c r="G3" s="3229" t="s">
        <v>3113</v>
      </c>
      <c r="H3" s="3232" t="s">
        <v>3114</v>
      </c>
    </row>
    <row r="4" spans="1:8" ht="15">
      <c r="A4" s="3444" t="s">
        <v>3115</v>
      </c>
      <c r="B4" s="3445"/>
      <c r="C4" s="3448" t="s">
        <v>3116</v>
      </c>
      <c r="D4" s="3449"/>
      <c r="E4" s="3233">
        <v>53630</v>
      </c>
      <c r="F4" s="3234"/>
      <c r="G4" s="3235" t="s">
        <v>3113</v>
      </c>
      <c r="H4" s="3236" t="s">
        <v>3114</v>
      </c>
    </row>
    <row r="5" spans="1:8" ht="30">
      <c r="A5" s="3446"/>
      <c r="B5" s="3447"/>
      <c r="C5" s="3237" t="s">
        <v>3117</v>
      </c>
      <c r="D5" s="3237" t="s">
        <v>3118</v>
      </c>
      <c r="E5" s="3238">
        <v>0</v>
      </c>
      <c r="F5" s="3238"/>
      <c r="G5" s="3237" t="s">
        <v>3113</v>
      </c>
      <c r="H5" s="3239"/>
    </row>
    <row r="6" spans="1:8" ht="15.6">
      <c r="A6" s="3424" t="s">
        <v>3000</v>
      </c>
      <c r="B6" s="3425"/>
      <c r="C6" s="3425"/>
      <c r="D6" s="3426"/>
      <c r="E6" s="3450" t="s">
        <v>3119</v>
      </c>
      <c r="F6" s="3451"/>
      <c r="G6" s="3452"/>
      <c r="H6" s="3239"/>
    </row>
    <row r="7" spans="1:8" ht="24">
      <c r="A7" s="3424" t="s">
        <v>3120</v>
      </c>
      <c r="B7" s="3425"/>
      <c r="C7" s="3425"/>
      <c r="D7" s="3426"/>
      <c r="E7" s="3240">
        <v>3003</v>
      </c>
      <c r="F7" s="3240"/>
      <c r="G7" s="3241" t="s">
        <v>3121</v>
      </c>
      <c r="H7" s="3239" t="s">
        <v>3122</v>
      </c>
    </row>
    <row r="8" spans="1:8" ht="24">
      <c r="A8" s="3453" t="s">
        <v>3123</v>
      </c>
      <c r="B8" s="3454"/>
      <c r="C8" s="3454"/>
      <c r="D8" s="3455"/>
      <c r="E8" s="3242">
        <v>2.5</v>
      </c>
      <c r="F8" s="3240" t="s">
        <v>3124</v>
      </c>
      <c r="G8" s="3242"/>
      <c r="H8" s="3243" t="s">
        <v>3125</v>
      </c>
    </row>
    <row r="9" spans="1:8" ht="24">
      <c r="A9" s="3456" t="s">
        <v>3126</v>
      </c>
      <c r="B9" s="3457"/>
      <c r="C9" s="3457"/>
      <c r="D9" s="3458"/>
      <c r="E9" s="3231">
        <v>2.5</v>
      </c>
      <c r="F9" s="3242" t="s">
        <v>3124</v>
      </c>
      <c r="G9" s="3231"/>
      <c r="H9" s="3232" t="s">
        <v>3127</v>
      </c>
    </row>
    <row r="10" spans="1:8" ht="15.6">
      <c r="A10" s="3424" t="s">
        <v>3128</v>
      </c>
      <c r="B10" s="3425"/>
      <c r="C10" s="3425"/>
      <c r="D10" s="3426"/>
      <c r="E10" s="3244">
        <v>80</v>
      </c>
      <c r="F10" s="3244" t="s">
        <v>3124</v>
      </c>
      <c r="G10" s="3245" t="s">
        <v>3129</v>
      </c>
      <c r="H10" s="3236"/>
    </row>
    <row r="11" spans="1:8" ht="15.6">
      <c r="A11" s="3424" t="s">
        <v>3130</v>
      </c>
      <c r="B11" s="3425"/>
      <c r="C11" s="3425"/>
      <c r="D11" s="3426"/>
      <c r="E11" s="3240">
        <v>27</v>
      </c>
      <c r="F11" s="3240"/>
      <c r="G11" s="3241" t="s">
        <v>3131</v>
      </c>
      <c r="H11" s="3239"/>
    </row>
    <row r="12" spans="1:8" ht="15.6">
      <c r="A12" s="3424" t="s">
        <v>3132</v>
      </c>
      <c r="B12" s="3425"/>
      <c r="C12" s="3425"/>
      <c r="D12" s="3426"/>
      <c r="E12" s="3240">
        <v>1</v>
      </c>
      <c r="F12" s="3240"/>
      <c r="G12" s="3241" t="s">
        <v>3131</v>
      </c>
      <c r="H12" s="3246"/>
    </row>
    <row r="13" spans="1:8" ht="15.6">
      <c r="A13" s="3424" t="s">
        <v>3133</v>
      </c>
      <c r="B13" s="3425"/>
      <c r="C13" s="3425"/>
      <c r="D13" s="3426"/>
      <c r="E13" s="3240">
        <v>1068</v>
      </c>
      <c r="F13" s="3240"/>
      <c r="G13" s="3241" t="s">
        <v>3134</v>
      </c>
      <c r="H13" s="3239"/>
    </row>
    <row r="14" spans="1:8" ht="15">
      <c r="A14" s="3427" t="s">
        <v>3115</v>
      </c>
      <c r="B14" s="3428"/>
      <c r="C14" s="3247" t="s">
        <v>3135</v>
      </c>
      <c r="D14" s="3248" t="s">
        <v>3087</v>
      </c>
      <c r="E14" s="3238">
        <v>1002</v>
      </c>
      <c r="F14" s="3240"/>
      <c r="G14" s="3237" t="s">
        <v>3134</v>
      </c>
      <c r="H14" s="3249"/>
    </row>
    <row r="15" spans="1:8" ht="15">
      <c r="A15" s="3429"/>
      <c r="B15" s="3430"/>
      <c r="C15" s="3250" t="s">
        <v>3136</v>
      </c>
      <c r="D15" s="3251" t="s">
        <v>2994</v>
      </c>
      <c r="E15" s="3252">
        <v>66</v>
      </c>
      <c r="F15" s="3252"/>
      <c r="G15" s="3253" t="s">
        <v>3134</v>
      </c>
      <c r="H15" s="3243"/>
    </row>
    <row r="16" spans="1:8" ht="15.6">
      <c r="A16" s="3431" t="s">
        <v>3137</v>
      </c>
      <c r="B16" s="3432"/>
      <c r="C16" s="3432"/>
      <c r="D16" s="3433"/>
      <c r="E16" s="3231">
        <v>186857</v>
      </c>
      <c r="F16" s="3231"/>
      <c r="G16" s="3229" t="s">
        <v>3113</v>
      </c>
      <c r="H16" s="3232"/>
    </row>
    <row r="17" spans="1:9" ht="15.6">
      <c r="A17" s="3434" t="s">
        <v>3115</v>
      </c>
      <c r="B17" s="3437" t="s">
        <v>3138</v>
      </c>
      <c r="C17" s="3438"/>
      <c r="D17" s="3439"/>
      <c r="E17" s="3254">
        <v>134075</v>
      </c>
      <c r="F17" s="3255"/>
      <c r="G17" s="3256" t="s">
        <v>3113</v>
      </c>
      <c r="H17" s="3257"/>
    </row>
    <row r="18" spans="1:9" ht="15">
      <c r="A18" s="3435"/>
      <c r="B18" s="3419" t="s">
        <v>3115</v>
      </c>
      <c r="C18" s="3414" t="s">
        <v>3139</v>
      </c>
      <c r="D18" s="3415"/>
      <c r="E18" s="3258">
        <v>93853</v>
      </c>
      <c r="F18" s="3258"/>
      <c r="G18" s="3259" t="s">
        <v>3113</v>
      </c>
      <c r="H18" s="3260"/>
      <c r="I18" s="3228">
        <f>SUM(E18,E21,E24,E27)</f>
        <v>134435.5</v>
      </c>
    </row>
    <row r="19" spans="1:9" ht="15">
      <c r="A19" s="3435"/>
      <c r="B19" s="3420"/>
      <c r="C19" s="3259" t="s">
        <v>3135</v>
      </c>
      <c r="D19" s="3237" t="s">
        <v>3140</v>
      </c>
      <c r="E19" s="3238">
        <v>89159.87</v>
      </c>
      <c r="F19" s="3238"/>
      <c r="G19" s="3237" t="s">
        <v>3113</v>
      </c>
      <c r="H19" s="3239"/>
      <c r="I19" s="3228">
        <f>I18-E17</f>
        <v>360.5</v>
      </c>
    </row>
    <row r="20" spans="1:9" ht="36">
      <c r="A20" s="3435"/>
      <c r="B20" s="3420"/>
      <c r="C20" s="3259" t="s">
        <v>3136</v>
      </c>
      <c r="D20" s="3261" t="s">
        <v>3141</v>
      </c>
      <c r="E20" s="3238">
        <v>4692.63</v>
      </c>
      <c r="F20" s="3240"/>
      <c r="G20" s="3237" t="s">
        <v>3113</v>
      </c>
      <c r="H20" s="3239" t="s">
        <v>3142</v>
      </c>
    </row>
    <row r="21" spans="1:9" ht="15">
      <c r="A21" s="3435"/>
      <c r="B21" s="3420"/>
      <c r="C21" s="3414" t="s">
        <v>3143</v>
      </c>
      <c r="D21" s="3415"/>
      <c r="E21" s="3258">
        <v>13407.5</v>
      </c>
      <c r="F21" s="3262"/>
      <c r="G21" s="3259" t="s">
        <v>3113</v>
      </c>
      <c r="H21" s="3260"/>
    </row>
    <row r="22" spans="1:9" ht="24">
      <c r="A22" s="3435"/>
      <c r="B22" s="3420"/>
      <c r="C22" s="3412" t="s">
        <v>3115</v>
      </c>
      <c r="D22" s="3237" t="s">
        <v>3135</v>
      </c>
      <c r="E22" s="3238">
        <v>4022.25</v>
      </c>
      <c r="F22" s="3240"/>
      <c r="G22" s="3237" t="s">
        <v>3113</v>
      </c>
      <c r="H22" s="3239" t="s">
        <v>3144</v>
      </c>
    </row>
    <row r="23" spans="1:9" ht="24">
      <c r="A23" s="3435"/>
      <c r="B23" s="3420"/>
      <c r="C23" s="3413"/>
      <c r="D23" s="3237" t="s">
        <v>3145</v>
      </c>
      <c r="E23" s="3238">
        <v>9385.25</v>
      </c>
      <c r="F23" s="3240"/>
      <c r="G23" s="3237" t="s">
        <v>3113</v>
      </c>
      <c r="H23" s="3239" t="s">
        <v>3146</v>
      </c>
    </row>
    <row r="24" spans="1:9" ht="15">
      <c r="A24" s="3435"/>
      <c r="B24" s="3420"/>
      <c r="C24" s="3414" t="s">
        <v>3147</v>
      </c>
      <c r="D24" s="3415"/>
      <c r="E24" s="3258">
        <v>20305</v>
      </c>
      <c r="F24" s="3258"/>
      <c r="G24" s="3259" t="s">
        <v>3113</v>
      </c>
      <c r="H24" s="3260"/>
    </row>
    <row r="25" spans="1:9" ht="24">
      <c r="A25" s="3435"/>
      <c r="B25" s="3420"/>
      <c r="C25" s="3412"/>
      <c r="D25" s="3237" t="s">
        <v>3135</v>
      </c>
      <c r="E25" s="3238">
        <v>5363</v>
      </c>
      <c r="F25" s="3238"/>
      <c r="G25" s="3237" t="s">
        <v>3113</v>
      </c>
      <c r="H25" s="3239" t="s">
        <v>3148</v>
      </c>
    </row>
    <row r="26" spans="1:9" ht="36">
      <c r="A26" s="3435"/>
      <c r="B26" s="3420"/>
      <c r="C26" s="3413"/>
      <c r="D26" s="3237" t="s">
        <v>3145</v>
      </c>
      <c r="E26" s="3238">
        <v>14942</v>
      </c>
      <c r="F26" s="3238"/>
      <c r="G26" s="3237" t="s">
        <v>3113</v>
      </c>
      <c r="H26" s="3239" t="s">
        <v>3149</v>
      </c>
    </row>
    <row r="27" spans="1:9" ht="15">
      <c r="A27" s="3435"/>
      <c r="B27" s="3420"/>
      <c r="C27" s="3414" t="s">
        <v>3150</v>
      </c>
      <c r="D27" s="3415"/>
      <c r="E27" s="3258">
        <v>6870</v>
      </c>
      <c r="F27" s="3258"/>
      <c r="G27" s="3259" t="s">
        <v>3113</v>
      </c>
      <c r="H27" s="3260"/>
    </row>
    <row r="28" spans="1:9" ht="45">
      <c r="A28" s="3435"/>
      <c r="B28" s="3420"/>
      <c r="C28" s="3412" t="s">
        <v>3115</v>
      </c>
      <c r="D28" s="3237" t="s">
        <v>3151</v>
      </c>
      <c r="E28" s="3238">
        <v>6510</v>
      </c>
      <c r="F28" s="3238"/>
      <c r="G28" s="3237" t="s">
        <v>3113</v>
      </c>
      <c r="H28" s="3239" t="s">
        <v>3152</v>
      </c>
    </row>
    <row r="29" spans="1:9" ht="30">
      <c r="A29" s="3435"/>
      <c r="B29" s="3440"/>
      <c r="C29" s="3413"/>
      <c r="D29" s="3237" t="s">
        <v>3153</v>
      </c>
      <c r="E29" s="3238">
        <v>360</v>
      </c>
      <c r="F29" s="3238"/>
      <c r="G29" s="3237" t="s">
        <v>3113</v>
      </c>
      <c r="H29" s="3239" t="s">
        <v>3154</v>
      </c>
    </row>
    <row r="30" spans="1:9" ht="15.6">
      <c r="A30" s="3435"/>
      <c r="B30" s="3416" t="s">
        <v>3155</v>
      </c>
      <c r="C30" s="3417"/>
      <c r="D30" s="3418"/>
      <c r="E30" s="3263">
        <v>52781.5</v>
      </c>
      <c r="F30" s="3263"/>
      <c r="G30" s="3264" t="s">
        <v>3113</v>
      </c>
      <c r="H30" s="3265"/>
    </row>
    <row r="31" spans="1:9" ht="15">
      <c r="A31" s="3435"/>
      <c r="B31" s="3419" t="s">
        <v>3115</v>
      </c>
      <c r="C31" s="3414" t="s">
        <v>35</v>
      </c>
      <c r="D31" s="3415"/>
      <c r="E31" s="3258">
        <v>52781.5</v>
      </c>
      <c r="F31" s="3258"/>
      <c r="G31" s="3259" t="s">
        <v>3113</v>
      </c>
      <c r="H31" s="3260"/>
    </row>
    <row r="32" spans="1:9" ht="30">
      <c r="A32" s="3435"/>
      <c r="B32" s="3420"/>
      <c r="C32" s="3259" t="s">
        <v>3156</v>
      </c>
      <c r="D32" s="3237" t="s">
        <v>3157</v>
      </c>
      <c r="E32" s="3238">
        <v>52781.5</v>
      </c>
      <c r="F32" s="3238"/>
      <c r="G32" s="3237" t="s">
        <v>3113</v>
      </c>
      <c r="H32" s="3239"/>
    </row>
    <row r="33" spans="1:8" ht="30">
      <c r="A33" s="3435"/>
      <c r="B33" s="3420"/>
      <c r="C33" s="3412" t="s">
        <v>3158</v>
      </c>
      <c r="D33" s="3237" t="s">
        <v>3159</v>
      </c>
      <c r="E33" s="3238">
        <v>35054</v>
      </c>
      <c r="F33" s="3238"/>
      <c r="G33" s="3237" t="s">
        <v>3113</v>
      </c>
      <c r="H33" s="3239" t="s">
        <v>3160</v>
      </c>
    </row>
    <row r="34" spans="1:8" ht="36">
      <c r="A34" s="3435"/>
      <c r="B34" s="3420"/>
      <c r="C34" s="3422"/>
      <c r="D34" s="3237" t="s">
        <v>3161</v>
      </c>
      <c r="E34" s="3238">
        <v>13407.5</v>
      </c>
      <c r="F34" s="3238"/>
      <c r="G34" s="3237" t="s">
        <v>3113</v>
      </c>
      <c r="H34" s="3239" t="s">
        <v>3162</v>
      </c>
    </row>
    <row r="35" spans="1:8" ht="30">
      <c r="A35" s="3436"/>
      <c r="B35" s="3421"/>
      <c r="C35" s="3423"/>
      <c r="D35" s="3253" t="s">
        <v>3163</v>
      </c>
      <c r="E35" s="3252">
        <v>4320</v>
      </c>
      <c r="F35" s="3252"/>
      <c r="G35" s="3253" t="s">
        <v>3113</v>
      </c>
      <c r="H35" s="3239"/>
    </row>
    <row r="36" spans="1:8" ht="96">
      <c r="A36" s="3394" t="s">
        <v>3164</v>
      </c>
      <c r="B36" s="3395"/>
      <c r="C36" s="3395"/>
      <c r="D36" s="3396"/>
      <c r="E36" s="3403">
        <v>1366</v>
      </c>
      <c r="F36" s="3406"/>
      <c r="G36" s="3409" t="s">
        <v>3165</v>
      </c>
      <c r="H36" s="3266" t="s">
        <v>3166</v>
      </c>
    </row>
    <row r="37" spans="1:8" ht="36">
      <c r="A37" s="3397"/>
      <c r="B37" s="3398"/>
      <c r="C37" s="3398"/>
      <c r="D37" s="3399"/>
      <c r="E37" s="3404"/>
      <c r="F37" s="3407"/>
      <c r="G37" s="3410"/>
      <c r="H37" s="3267" t="s">
        <v>3167</v>
      </c>
    </row>
    <row r="38" spans="1:8" ht="96">
      <c r="A38" s="3397"/>
      <c r="B38" s="3398"/>
      <c r="C38" s="3398"/>
      <c r="D38" s="3399"/>
      <c r="E38" s="3404"/>
      <c r="F38" s="3407"/>
      <c r="G38" s="3410"/>
      <c r="H38" s="3267" t="s">
        <v>3168</v>
      </c>
    </row>
    <row r="39" spans="1:8" ht="36">
      <c r="A39" s="3400"/>
      <c r="B39" s="3401"/>
      <c r="C39" s="3401"/>
      <c r="D39" s="3402"/>
      <c r="E39" s="3405"/>
      <c r="F39" s="3408"/>
      <c r="G39" s="3411"/>
      <c r="H39" s="3268" t="s">
        <v>3169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AK85" activePane="bottomRight" state="frozen"/>
      <selection pane="topRight" activeCell="E1" sqref="E1"/>
      <selection pane="bottomLeft" activeCell="A12" sqref="A12"/>
      <selection pane="bottomRight" activeCell="AN90" sqref="AN90"/>
    </sheetView>
  </sheetViews>
  <sheetFormatPr defaultColWidth="8.88671875" defaultRowHeight="13.8"/>
  <cols>
    <col min="1" max="1" width="9.21875" style="15" customWidth="1"/>
    <col min="2" max="2" width="10.21875" style="15" customWidth="1"/>
    <col min="3" max="3" width="17"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441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2331</v>
      </c>
      <c r="BA2" s="2319"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3.2">
      <c r="A3" s="21">
        <v>42276.47</v>
      </c>
      <c r="B3" s="22">
        <f>IF(C3="否",G5-AT5,G5)</f>
        <v>162743</v>
      </c>
      <c r="C3" s="23" t="s">
        <v>1678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3.2">
      <c r="A5" s="26" t="s">
        <v>168</v>
      </c>
      <c r="B5" s="985"/>
      <c r="C5" s="985"/>
      <c r="D5" s="992"/>
      <c r="E5" s="27" t="s">
        <v>1</v>
      </c>
      <c r="F5" s="27">
        <f>SUM(F13:F572)</f>
        <v>0</v>
      </c>
      <c r="G5" s="27">
        <f>SUM(G13:G572)</f>
        <v>162743</v>
      </c>
      <c r="H5" s="27">
        <f t="shared" ref="H5:AT5" si="0">SUM(H13:H641)</f>
        <v>100049.19</v>
      </c>
      <c r="I5" s="27">
        <f t="shared" si="0"/>
        <v>83178.19</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55003.81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54903.81</v>
      </c>
      <c r="AO5" s="27">
        <f t="shared" si="0"/>
        <v>0</v>
      </c>
      <c r="AP5" s="27">
        <f t="shared" si="0"/>
        <v>0</v>
      </c>
      <c r="AQ5" s="27">
        <f t="shared" si="0"/>
        <v>0</v>
      </c>
      <c r="AR5" s="27">
        <f t="shared" si="0"/>
        <v>0</v>
      </c>
      <c r="AS5" s="27">
        <f t="shared" si="0"/>
        <v>0</v>
      </c>
      <c r="AT5" s="27">
        <f t="shared" si="0"/>
        <v>7690</v>
      </c>
      <c r="AU5" s="984"/>
      <c r="AV5" s="26" t="s">
        <v>168</v>
      </c>
      <c r="AW5" s="985"/>
      <c r="AX5" s="985"/>
      <c r="AY5" s="28" t="s">
        <v>3</v>
      </c>
      <c r="AZ5" s="29">
        <f t="shared" ref="AZ5:BT5" si="1">SUM(AZ13:AZ641)</f>
        <v>155053</v>
      </c>
      <c r="BA5" s="29">
        <f t="shared" si="1"/>
        <v>100049.19</v>
      </c>
      <c r="BB5" s="29">
        <f t="shared" si="1"/>
        <v>83178.19</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55003.81</v>
      </c>
      <c r="BM5" s="29">
        <f t="shared" si="1"/>
        <v>0</v>
      </c>
      <c r="BN5" s="29">
        <f t="shared" si="1"/>
        <v>0</v>
      </c>
      <c r="BO5" s="29">
        <f t="shared" si="1"/>
        <v>0</v>
      </c>
      <c r="BP5" s="29">
        <f t="shared" si="1"/>
        <v>0</v>
      </c>
      <c r="BQ5" s="29">
        <f t="shared" si="1"/>
        <v>100</v>
      </c>
      <c r="BR5" s="29">
        <f t="shared" si="1"/>
        <v>54903.81</v>
      </c>
      <c r="BS5" s="29">
        <f t="shared" si="1"/>
        <v>0</v>
      </c>
      <c r="BT5" s="30">
        <f t="shared" si="1"/>
        <v>0</v>
      </c>
    </row>
    <row r="6" spans="1:72" s="37" customFormat="1" ht="13.2">
      <c r="A6" s="26" t="s">
        <v>169</v>
      </c>
      <c r="B6" s="31"/>
      <c r="C6" s="31"/>
      <c r="D6" s="32"/>
      <c r="E6" s="27">
        <f>H6+AC6+AT6</f>
        <v>42276.479999999996</v>
      </c>
      <c r="F6" s="27" t="s">
        <v>1</v>
      </c>
      <c r="G6" s="27" t="s">
        <v>2</v>
      </c>
      <c r="H6" s="33">
        <f>SUMIF(I$12:AB$12,"总值",I6:AB6)</f>
        <v>25990.22</v>
      </c>
      <c r="I6" s="27">
        <f t="shared" ref="I6:AB6" si="2">ROUND($A$3*I5/$B$3,2)</f>
        <v>21607.57</v>
      </c>
      <c r="J6" s="27">
        <f t="shared" si="2"/>
        <v>0</v>
      </c>
      <c r="K6" s="27">
        <f t="shared" si="2"/>
        <v>4382.6499999999996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14288.59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25.98</v>
      </c>
      <c r="AM6" s="27">
        <f t="shared" si="3"/>
        <v>0</v>
      </c>
      <c r="AN6" s="27">
        <f t="shared" si="3"/>
        <v>14262.61</v>
      </c>
      <c r="AO6" s="27">
        <f t="shared" si="3"/>
        <v>0</v>
      </c>
      <c r="AP6" s="27">
        <f t="shared" si="3"/>
        <v>0</v>
      </c>
      <c r="AQ6" s="27">
        <f t="shared" si="3"/>
        <v>0</v>
      </c>
      <c r="AR6" s="27">
        <f t="shared" si="3"/>
        <v>0</v>
      </c>
      <c r="AS6" s="27">
        <f t="shared" si="3"/>
        <v>0</v>
      </c>
      <c r="AT6" s="33">
        <f>IF(C3="是",ROUND($A$3*AT5/$B$3,2),0)</f>
        <v>1997.67</v>
      </c>
      <c r="AU6" s="34"/>
      <c r="AV6" s="26" t="s">
        <v>169</v>
      </c>
      <c r="AW6" s="31"/>
      <c r="AX6" s="31"/>
      <c r="AY6" s="35">
        <f>IF(AY3&gt;0,AY3,ROUND($A$3*AZ5/$B$3,2))</f>
        <v>40278.800000000003</v>
      </c>
      <c r="AZ6" s="27" t="s">
        <v>3</v>
      </c>
      <c r="BA6" s="27">
        <f>ROUND($AY$6*BA5/$AZ$5,2)</f>
        <v>25990.22</v>
      </c>
      <c r="BB6" s="27">
        <f>ROUND($AY$6*BB5/$AZ$5,2)</f>
        <v>21607.56</v>
      </c>
      <c r="BC6" s="27">
        <f t="shared" ref="BC6:BH6" si="4">ROUND($AY$6*BC5/$AZ$5,2)</f>
        <v>4382.6499999999996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14288.58</v>
      </c>
      <c r="BM6" s="27">
        <f t="shared" si="5"/>
        <v>0</v>
      </c>
      <c r="BN6" s="27">
        <f t="shared" si="5"/>
        <v>0</v>
      </c>
      <c r="BO6" s="27">
        <f t="shared" si="5"/>
        <v>0</v>
      </c>
      <c r="BP6" s="27">
        <f t="shared" si="5"/>
        <v>0</v>
      </c>
      <c r="BQ6" s="27">
        <f t="shared" si="5"/>
        <v>25.98</v>
      </c>
      <c r="BR6" s="27">
        <f t="shared" si="5"/>
        <v>14262.6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62" t="s">
        <v>2995</v>
      </c>
      <c r="J9" s="51"/>
      <c r="K9" s="59" t="s">
        <v>2997</v>
      </c>
      <c r="L9" s="51"/>
      <c r="M9" s="59" t="s">
        <v>2997</v>
      </c>
      <c r="N9" s="51"/>
      <c r="O9" s="2962"/>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175" t="s">
        <v>1948</v>
      </c>
      <c r="J10" s="51"/>
      <c r="K10" s="3175" t="s">
        <v>1948</v>
      </c>
      <c r="L10" s="51"/>
      <c r="M10" s="66" t="s">
        <v>2992</v>
      </c>
      <c r="N10" s="51"/>
      <c r="O10" s="3175"/>
      <c r="P10" s="51"/>
      <c r="Q10" s="3175"/>
      <c r="R10" s="51"/>
      <c r="S10" s="66"/>
      <c r="T10" s="51"/>
      <c r="U10" s="66"/>
      <c r="V10" s="51"/>
      <c r="W10" s="66"/>
      <c r="X10" s="51"/>
      <c r="Y10" s="66"/>
      <c r="Z10" s="51"/>
      <c r="AA10" s="66"/>
      <c r="AB10" s="51"/>
      <c r="AC10" s="55"/>
      <c r="AD10" s="2293" t="s">
        <v>2315</v>
      </c>
      <c r="AE10" s="2315"/>
      <c r="AF10" s="2293" t="s">
        <v>2315</v>
      </c>
      <c r="AG10" s="2315"/>
      <c r="AH10" s="2293" t="s">
        <v>2316</v>
      </c>
      <c r="AI10" s="2315"/>
      <c r="AJ10" s="26" t="s">
        <v>2329</v>
      </c>
      <c r="AK10" s="2312"/>
      <c r="AL10" s="2293" t="s">
        <v>2317</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70" t="s">
        <v>2996</v>
      </c>
      <c r="J11" s="71"/>
      <c r="K11" s="70" t="s">
        <v>2996</v>
      </c>
      <c r="L11" s="71"/>
      <c r="M11" s="70" t="s">
        <v>2992</v>
      </c>
      <c r="N11" s="71"/>
      <c r="O11" s="70"/>
      <c r="P11" s="71"/>
      <c r="Q11" s="70"/>
      <c r="R11" s="71"/>
      <c r="S11" s="70"/>
      <c r="T11" s="71"/>
      <c r="U11" s="70"/>
      <c r="V11" s="71"/>
      <c r="W11" s="70"/>
      <c r="X11" s="71"/>
      <c r="Y11" s="70"/>
      <c r="Z11" s="71"/>
      <c r="AA11" s="70"/>
      <c r="AB11" s="71"/>
      <c r="AC11" s="55"/>
      <c r="AD11" s="2313" t="s">
        <v>2328</v>
      </c>
      <c r="AE11" s="998"/>
      <c r="AF11" s="2313" t="s">
        <v>2328</v>
      </c>
      <c r="AG11" s="998"/>
      <c r="AH11" s="2313" t="s">
        <v>2327</v>
      </c>
      <c r="AI11" s="2314"/>
      <c r="AJ11" s="2313" t="s">
        <v>2327</v>
      </c>
      <c r="AK11" s="2312"/>
      <c r="AL11" s="996"/>
      <c r="AM11" s="998"/>
      <c r="AN11" s="996"/>
      <c r="AO11" s="998"/>
      <c r="AP11" s="1180"/>
      <c r="AQ11" s="1182"/>
      <c r="AR11" s="1180"/>
      <c r="AS11" s="1182"/>
      <c r="AT11" s="999"/>
      <c r="AU11" s="45"/>
      <c r="AV11" s="55"/>
      <c r="AW11" s="999"/>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59"/>
      <c r="B13" s="2959"/>
      <c r="C13" s="3174"/>
      <c r="D13" s="2960" t="s">
        <v>1678</v>
      </c>
      <c r="E13" s="27">
        <f t="shared" ref="E13:E20" si="6">IF($C$3="是",ROUND($A$3*G13/$B$3,2),ROUND($A$3*(G13-AT13)/$B$3,2))</f>
        <v>0</v>
      </c>
      <c r="F13" s="81"/>
      <c r="G13" s="82">
        <f t="shared" ref="G13:G20" si="7">H13+AC13+AT13</f>
        <v>0</v>
      </c>
      <c r="H13" s="33">
        <f t="shared" ref="H13:H20" si="8">SUMIF(I$12:AB$12,"总值",I13:AB13)</f>
        <v>0</v>
      </c>
      <c r="I13" s="2961"/>
      <c r="J13" s="2961"/>
      <c r="K13" s="2961"/>
      <c r="L13" s="2961"/>
      <c r="M13" s="2961"/>
      <c r="N13" s="83"/>
      <c r="O13" s="83"/>
      <c r="P13" s="83"/>
      <c r="Q13" s="83"/>
      <c r="R13" s="83"/>
      <c r="S13" s="83"/>
      <c r="T13" s="83"/>
      <c r="U13" s="83"/>
      <c r="V13" s="83"/>
      <c r="W13" s="83"/>
      <c r="X13" s="83"/>
      <c r="Y13" s="83"/>
      <c r="Z13" s="83"/>
      <c r="AA13" s="83"/>
      <c r="AB13" s="83"/>
      <c r="AC13" s="27">
        <f t="shared" ref="AC13:AC20" si="9">SUMIF(AD$12:AS$12,"总值",AD13:AS13)</f>
        <v>0</v>
      </c>
      <c r="AD13" s="2963"/>
      <c r="AE13" s="2963"/>
      <c r="AF13" s="2963"/>
      <c r="AG13" s="2963"/>
      <c r="AH13" s="2963"/>
      <c r="AI13" s="2963"/>
      <c r="AJ13" s="2963"/>
      <c r="AK13" s="2963"/>
      <c r="AL13" s="2963"/>
      <c r="AM13" s="2963"/>
      <c r="AN13" s="2963"/>
      <c r="AO13" s="2963"/>
      <c r="AP13" s="2963"/>
      <c r="AQ13" s="2963"/>
      <c r="AR13" s="2963"/>
      <c r="AS13" s="2963"/>
      <c r="AT13" s="2964"/>
      <c r="AU13" s="2965"/>
      <c r="AV13" s="17">
        <f t="shared" ref="AV13:AX20" si="10">A13</f>
        <v>0</v>
      </c>
      <c r="AW13" s="17">
        <f t="shared" si="10"/>
        <v>0</v>
      </c>
      <c r="AX13" s="17">
        <f t="shared" si="10"/>
        <v>0</v>
      </c>
      <c r="AY13" s="99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59"/>
      <c r="B14" s="2959"/>
      <c r="C14" s="3174"/>
      <c r="D14" s="2960" t="s">
        <v>1678</v>
      </c>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9"/>
      <c r="B15" s="3269"/>
      <c r="C15" s="3174"/>
      <c r="D15" s="2960" t="s">
        <v>1678</v>
      </c>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9"/>
      <c r="B16" s="2959"/>
      <c r="C16" s="3174"/>
      <c r="D16" s="2960" t="s">
        <v>1678</v>
      </c>
      <c r="E16" s="27">
        <f t="shared" si="6"/>
        <v>0</v>
      </c>
      <c r="F16" s="81"/>
      <c r="G16" s="82">
        <f t="shared" si="7"/>
        <v>0</v>
      </c>
      <c r="H16" s="33">
        <f t="shared" si="8"/>
        <v>0</v>
      </c>
      <c r="I16" s="2961"/>
      <c r="J16" s="2961"/>
      <c r="K16" s="2961"/>
      <c r="L16" s="2961"/>
      <c r="M16" s="2961"/>
      <c r="N16" s="2961"/>
      <c r="O16" s="2961"/>
      <c r="P16" s="2961"/>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9"/>
      <c r="B17" s="2959"/>
      <c r="C17" s="3174"/>
      <c r="D17" s="2960" t="s">
        <v>1678</v>
      </c>
      <c r="E17" s="27">
        <f t="shared" si="6"/>
        <v>0</v>
      </c>
      <c r="F17" s="81"/>
      <c r="G17" s="82">
        <f t="shared" si="7"/>
        <v>0</v>
      </c>
      <c r="H17" s="33">
        <f t="shared" si="8"/>
        <v>0</v>
      </c>
      <c r="I17" s="2961"/>
      <c r="J17" s="2961"/>
      <c r="K17" s="2961"/>
      <c r="L17" s="2961"/>
      <c r="M17" s="2961"/>
      <c r="N17" s="2961"/>
      <c r="O17" s="2961"/>
      <c r="P17" s="2961"/>
      <c r="Q17" s="2961"/>
      <c r="R17" s="2961"/>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4"/>
      <c r="D18" s="2960" t="s">
        <v>1678</v>
      </c>
      <c r="E18" s="87">
        <f t="shared" si="6"/>
        <v>0</v>
      </c>
      <c r="F18" s="88"/>
      <c r="G18" s="89">
        <f t="shared" si="7"/>
        <v>0</v>
      </c>
      <c r="H18" s="90">
        <f t="shared" si="8"/>
        <v>0</v>
      </c>
      <c r="I18" s="2961"/>
      <c r="J18" s="2961"/>
      <c r="K18" s="2961"/>
      <c r="L18" s="2961"/>
      <c r="M18" s="2961"/>
      <c r="N18" s="2961"/>
      <c r="O18" s="2961"/>
      <c r="P18" s="2961"/>
      <c r="Q18" s="2961"/>
      <c r="R18" s="2961"/>
      <c r="S18" s="91"/>
      <c r="T18" s="91"/>
      <c r="U18" s="91"/>
      <c r="V18" s="91"/>
      <c r="W18" s="91"/>
      <c r="X18" s="91"/>
      <c r="Y18" s="91"/>
      <c r="Z18" s="91"/>
      <c r="AA18" s="91"/>
      <c r="AB18" s="91"/>
      <c r="AC18" s="87">
        <f t="shared" si="9"/>
        <v>0</v>
      </c>
      <c r="AD18" s="92"/>
      <c r="AE18" s="92"/>
      <c r="AF18" s="1385"/>
      <c r="AG18" s="92"/>
      <c r="AH18" s="2963"/>
      <c r="AI18" s="2963"/>
      <c r="AJ18" s="2963"/>
      <c r="AK18" s="2963"/>
      <c r="AL18" s="2963"/>
      <c r="AM18" s="92"/>
      <c r="AN18" s="2963"/>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4"/>
      <c r="D19" s="2960" t="s">
        <v>1678</v>
      </c>
      <c r="E19" s="87">
        <f t="shared" si="6"/>
        <v>0</v>
      </c>
      <c r="F19" s="88"/>
      <c r="G19" s="89">
        <f t="shared" si="7"/>
        <v>0</v>
      </c>
      <c r="H19" s="90">
        <f t="shared" si="8"/>
        <v>0</v>
      </c>
      <c r="I19" s="2961"/>
      <c r="J19" s="2961"/>
      <c r="K19" s="2961"/>
      <c r="L19" s="2961"/>
      <c r="M19" s="2961"/>
      <c r="N19" s="2961"/>
      <c r="O19" s="2961"/>
      <c r="P19" s="2961"/>
      <c r="Q19" s="2961"/>
      <c r="R19" s="2961"/>
      <c r="S19" s="2961"/>
      <c r="T19" s="2961"/>
      <c r="U19" s="91"/>
      <c r="V19" s="91"/>
      <c r="W19" s="91"/>
      <c r="X19" s="91"/>
      <c r="Y19" s="91"/>
      <c r="Z19" s="91"/>
      <c r="AA19" s="91"/>
      <c r="AB19" s="91"/>
      <c r="AC19" s="87">
        <f t="shared" si="9"/>
        <v>0</v>
      </c>
      <c r="AD19" s="92"/>
      <c r="AE19" s="92"/>
      <c r="AF19" s="1385"/>
      <c r="AG19" s="92"/>
      <c r="AH19" s="2963"/>
      <c r="AI19" s="2963"/>
      <c r="AJ19" s="2963"/>
      <c r="AK19" s="2963"/>
      <c r="AL19" s="2963"/>
      <c r="AM19" s="92"/>
      <c r="AN19" s="2963"/>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2.75" customHeight="1">
      <c r="A20" s="84"/>
      <c r="B20" s="1389"/>
      <c r="C20" s="3174"/>
      <c r="D20" s="2960" t="s">
        <v>1678</v>
      </c>
      <c r="E20" s="87">
        <f t="shared" si="6"/>
        <v>0</v>
      </c>
      <c r="F20" s="88"/>
      <c r="G20" s="89">
        <f t="shared" si="7"/>
        <v>0</v>
      </c>
      <c r="H20" s="90">
        <f t="shared" si="8"/>
        <v>0</v>
      </c>
      <c r="I20" s="2961"/>
      <c r="J20" s="2961"/>
      <c r="K20" s="2961"/>
      <c r="L20" s="2961"/>
      <c r="M20" s="2961"/>
      <c r="N20" s="2961"/>
      <c r="O20" s="2961"/>
      <c r="P20" s="2961"/>
      <c r="Q20" s="2961"/>
      <c r="R20" s="2961"/>
      <c r="S20" s="2961"/>
      <c r="T20" s="2961"/>
      <c r="U20" s="91"/>
      <c r="V20" s="91"/>
      <c r="W20" s="91"/>
      <c r="X20" s="91"/>
      <c r="Y20" s="91"/>
      <c r="Z20" s="91"/>
      <c r="AA20" s="91"/>
      <c r="AB20" s="91"/>
      <c r="AC20" s="87">
        <f t="shared" si="9"/>
        <v>0</v>
      </c>
      <c r="AD20" s="92"/>
      <c r="AE20" s="92"/>
      <c r="AF20" s="1385"/>
      <c r="AG20" s="92"/>
      <c r="AH20" s="2963"/>
      <c r="AI20" s="2963"/>
      <c r="AJ20" s="2963"/>
      <c r="AK20" s="2963"/>
      <c r="AL20" s="2963"/>
      <c r="AM20" s="92"/>
      <c r="AN20" s="2963"/>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4"/>
      <c r="C21" s="3174"/>
      <c r="D21" s="2960" t="s">
        <v>1678</v>
      </c>
      <c r="E21" s="87">
        <f t="shared" ref="E21:E112" si="33">IF($C$3="是",ROUND($A$3*G21/$B$3,2),ROUND($A$3*(G21-AT21)/$B$3,2))</f>
        <v>0</v>
      </c>
      <c r="F21" s="88"/>
      <c r="G21" s="89">
        <f t="shared" ref="G21:G109" si="34">H21+AC21+AT21</f>
        <v>0</v>
      </c>
      <c r="H21" s="90">
        <f t="shared" ref="H21:H109" si="35">SUMIF(I$12:AB$12,"总值",I21:AB21)</f>
        <v>0</v>
      </c>
      <c r="I21" s="2961"/>
      <c r="J21" s="2961"/>
      <c r="K21" s="2961"/>
      <c r="L21" s="2961"/>
      <c r="M21" s="2961"/>
      <c r="N21" s="2961"/>
      <c r="O21" s="2961"/>
      <c r="P21" s="2961"/>
      <c r="Q21" s="2961"/>
      <c r="R21" s="2961"/>
      <c r="S21" s="2961"/>
      <c r="T21" s="2961"/>
      <c r="U21" s="91"/>
      <c r="V21" s="91"/>
      <c r="W21" s="91"/>
      <c r="X21" s="91"/>
      <c r="Y21" s="91"/>
      <c r="Z21" s="91"/>
      <c r="AA21" s="91"/>
      <c r="AB21" s="91"/>
      <c r="AC21" s="87">
        <f t="shared" ref="AC21:AC109" si="36">SUMIF(AD$12:AS$12,"总值",AD21:AS21)</f>
        <v>0</v>
      </c>
      <c r="AD21" s="92"/>
      <c r="AE21" s="92"/>
      <c r="AF21" s="1388"/>
      <c r="AG21" s="92"/>
      <c r="AH21" s="2963"/>
      <c r="AI21" s="2963"/>
      <c r="AJ21" s="2963"/>
      <c r="AK21" s="2963"/>
      <c r="AL21" s="2963"/>
      <c r="AM21" s="92"/>
      <c r="AN21" s="2963"/>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4"/>
      <c r="D22" s="2960" t="s">
        <v>1678</v>
      </c>
      <c r="E22" s="87">
        <f t="shared" si="33"/>
        <v>0</v>
      </c>
      <c r="F22" s="88"/>
      <c r="G22" s="89">
        <f t="shared" si="34"/>
        <v>0</v>
      </c>
      <c r="H22" s="90">
        <f t="shared" si="35"/>
        <v>0</v>
      </c>
      <c r="I22" s="1387"/>
      <c r="J22" s="2961"/>
      <c r="K22" s="2961"/>
      <c r="L22" s="2961"/>
      <c r="M22" s="2961"/>
      <c r="N22" s="2961"/>
      <c r="O22" s="2961"/>
      <c r="P22" s="2961"/>
      <c r="Q22" s="91"/>
      <c r="R22" s="91"/>
      <c r="S22" s="2961"/>
      <c r="T22" s="2961"/>
      <c r="U22" s="91"/>
      <c r="V22" s="91"/>
      <c r="W22" s="91"/>
      <c r="X22" s="91"/>
      <c r="Y22" s="91"/>
      <c r="Z22" s="91"/>
      <c r="AA22" s="91"/>
      <c r="AB22" s="91"/>
      <c r="AC22" s="87">
        <f t="shared" si="36"/>
        <v>0</v>
      </c>
      <c r="AD22" s="1356"/>
      <c r="AE22" s="92"/>
      <c r="AF22" s="1388"/>
      <c r="AG22" s="92"/>
      <c r="AH22" s="2963"/>
      <c r="AI22" s="2963"/>
      <c r="AJ22" s="2963"/>
      <c r="AK22" s="2963"/>
      <c r="AL22" s="2963"/>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4"/>
      <c r="C23" s="3174"/>
      <c r="D23" s="80"/>
      <c r="E23" s="87">
        <f t="shared" si="33"/>
        <v>0</v>
      </c>
      <c r="F23" s="88"/>
      <c r="G23" s="89">
        <f t="shared" si="34"/>
        <v>0</v>
      </c>
      <c r="H23" s="90">
        <f t="shared" si="35"/>
        <v>0</v>
      </c>
      <c r="I23" s="1387"/>
      <c r="J23" s="2961"/>
      <c r="K23" s="2961"/>
      <c r="L23" s="2961"/>
      <c r="M23" s="2961"/>
      <c r="N23" s="2961"/>
      <c r="O23" s="2961"/>
      <c r="P23" s="2961"/>
      <c r="Q23" s="91"/>
      <c r="R23" s="91"/>
      <c r="S23" s="2961"/>
      <c r="T23" s="2961"/>
      <c r="U23" s="91"/>
      <c r="V23" s="91"/>
      <c r="W23" s="91"/>
      <c r="X23" s="91"/>
      <c r="Y23" s="91"/>
      <c r="Z23" s="91"/>
      <c r="AA23" s="91"/>
      <c r="AB23" s="91"/>
      <c r="AC23" s="87">
        <f t="shared" si="36"/>
        <v>0</v>
      </c>
      <c r="AD23" s="92"/>
      <c r="AE23" s="92"/>
      <c r="AF23" s="1388"/>
      <c r="AG23" s="92"/>
      <c r="AH23" s="2963"/>
      <c r="AI23" s="2963"/>
      <c r="AJ23" s="2963"/>
      <c r="AK23" s="2963"/>
      <c r="AL23" s="2963"/>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4"/>
      <c r="C24" s="3174"/>
      <c r="D24" s="80"/>
      <c r="E24" s="87">
        <f t="shared" si="33"/>
        <v>0</v>
      </c>
      <c r="F24" s="88"/>
      <c r="G24" s="89">
        <f t="shared" si="34"/>
        <v>0</v>
      </c>
      <c r="H24" s="90">
        <f t="shared" si="35"/>
        <v>0</v>
      </c>
      <c r="I24" s="1387"/>
      <c r="J24" s="2961"/>
      <c r="K24" s="2961"/>
      <c r="L24" s="2961"/>
      <c r="M24" s="2961"/>
      <c r="N24" s="2961"/>
      <c r="O24" s="2961"/>
      <c r="P24" s="296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4"/>
      <c r="C25" s="1385"/>
      <c r="D25" s="80"/>
      <c r="E25" s="87">
        <f t="shared" si="33"/>
        <v>0</v>
      </c>
      <c r="F25" s="88"/>
      <c r="G25" s="89">
        <f t="shared" si="34"/>
        <v>0</v>
      </c>
      <c r="H25" s="90">
        <f t="shared" si="35"/>
        <v>0</v>
      </c>
      <c r="I25" s="1387"/>
      <c r="J25" s="2961"/>
      <c r="K25" s="2961"/>
      <c r="L25" s="2961"/>
      <c r="M25" s="2961"/>
      <c r="N25" s="2961"/>
      <c r="O25" s="2961"/>
      <c r="P25" s="296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3305" t="s">
        <v>3312</v>
      </c>
      <c r="D87" s="86" t="s">
        <v>1678</v>
      </c>
      <c r="E87" s="87">
        <f t="shared" si="33"/>
        <v>21920.55</v>
      </c>
      <c r="F87" s="88"/>
      <c r="G87" s="89">
        <f t="shared" si="34"/>
        <v>84383</v>
      </c>
      <c r="H87" s="90">
        <f t="shared" si="35"/>
        <v>83178.19</v>
      </c>
      <c r="I87" s="91">
        <f>84383-AN87-AT87</f>
        <v>83178.19</v>
      </c>
      <c r="J87" s="91"/>
      <c r="K87" s="91"/>
      <c r="L87" s="91"/>
      <c r="M87" s="91"/>
      <c r="N87" s="91"/>
      <c r="O87" s="91"/>
      <c r="P87" s="91"/>
      <c r="Q87" s="91"/>
      <c r="R87" s="91"/>
      <c r="S87" s="91"/>
      <c r="T87" s="91"/>
      <c r="U87" s="91"/>
      <c r="V87" s="91"/>
      <c r="W87" s="91"/>
      <c r="X87" s="91"/>
      <c r="Y87" s="91"/>
      <c r="Z87" s="91"/>
      <c r="AA87" s="91"/>
      <c r="AB87" s="91"/>
      <c r="AC87" s="87">
        <f t="shared" si="36"/>
        <v>1194.81</v>
      </c>
      <c r="AD87" s="92"/>
      <c r="AE87" s="92"/>
      <c r="AF87" s="92"/>
      <c r="AG87" s="92"/>
      <c r="AH87" s="92"/>
      <c r="AI87" s="92"/>
      <c r="AJ87" s="92"/>
      <c r="AK87" s="92"/>
      <c r="AL87" s="92"/>
      <c r="AM87" s="92"/>
      <c r="AN87" s="92">
        <v>1194.81</v>
      </c>
      <c r="AO87" s="92"/>
      <c r="AP87" s="92"/>
      <c r="AQ87" s="92"/>
      <c r="AR87" s="92"/>
      <c r="AS87" s="92"/>
      <c r="AT87" s="93">
        <v>10</v>
      </c>
      <c r="AU87" s="94"/>
      <c r="AV87" s="1958">
        <f t="shared" si="37"/>
        <v>0</v>
      </c>
      <c r="AW87" s="1958">
        <f t="shared" si="38"/>
        <v>0</v>
      </c>
      <c r="AX87" s="1958" t="str">
        <f t="shared" si="39"/>
        <v>商业楼</v>
      </c>
      <c r="AY87" s="95">
        <f t="shared" si="40"/>
        <v>21917.95</v>
      </c>
      <c r="AZ87" s="87">
        <f t="shared" si="41"/>
        <v>84373</v>
      </c>
      <c r="BA87" s="87">
        <f t="shared" si="42"/>
        <v>83178.19</v>
      </c>
      <c r="BB87" s="87">
        <f t="shared" si="43"/>
        <v>83178.19</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1194.81</v>
      </c>
      <c r="BM87" s="87">
        <f t="shared" si="54"/>
        <v>0</v>
      </c>
      <c r="BN87" s="87">
        <f t="shared" si="55"/>
        <v>0</v>
      </c>
      <c r="BO87" s="87">
        <f t="shared" si="56"/>
        <v>0</v>
      </c>
      <c r="BP87" s="87">
        <f t="shared" si="57"/>
        <v>0</v>
      </c>
      <c r="BQ87" s="87">
        <f t="shared" si="58"/>
        <v>0</v>
      </c>
      <c r="BR87" s="87">
        <f t="shared" si="59"/>
        <v>1194.81</v>
      </c>
      <c r="BS87" s="87">
        <f t="shared" si="60"/>
        <v>0</v>
      </c>
      <c r="BT87" s="96">
        <f t="shared" si="61"/>
        <v>0</v>
      </c>
    </row>
    <row r="88" spans="1:72" ht="16.95" customHeight="1">
      <c r="A88" s="84"/>
      <c r="B88" s="85"/>
      <c r="C88" s="3306" t="s">
        <v>3313</v>
      </c>
      <c r="D88" s="86" t="s">
        <v>1678</v>
      </c>
      <c r="E88" s="87">
        <f t="shared" si="33"/>
        <v>9082.14</v>
      </c>
      <c r="F88" s="88"/>
      <c r="G88" s="89">
        <f t="shared" si="34"/>
        <v>34961.65</v>
      </c>
      <c r="H88" s="90">
        <f t="shared" si="35"/>
        <v>16871</v>
      </c>
      <c r="I88" s="91"/>
      <c r="J88" s="91"/>
      <c r="K88" s="91">
        <v>16871</v>
      </c>
      <c r="L88" s="91"/>
      <c r="M88" s="91"/>
      <c r="N88" s="91"/>
      <c r="O88" s="91"/>
      <c r="P88" s="91"/>
      <c r="Q88" s="91"/>
      <c r="R88" s="91"/>
      <c r="S88" s="91"/>
      <c r="T88" s="91"/>
      <c r="U88" s="91"/>
      <c r="V88" s="91"/>
      <c r="W88" s="91"/>
      <c r="X88" s="91"/>
      <c r="Y88" s="91"/>
      <c r="Z88" s="91"/>
      <c r="AA88" s="91"/>
      <c r="AB88" s="91"/>
      <c r="AC88" s="87">
        <f t="shared" si="36"/>
        <v>10480.65</v>
      </c>
      <c r="AD88" s="92"/>
      <c r="AE88" s="92"/>
      <c r="AF88" s="92"/>
      <c r="AG88" s="92"/>
      <c r="AH88" s="92"/>
      <c r="AI88" s="92"/>
      <c r="AJ88" s="92"/>
      <c r="AK88" s="92"/>
      <c r="AL88" s="92">
        <v>100</v>
      </c>
      <c r="AM88" s="92"/>
      <c r="AN88" s="92">
        <v>10380.65</v>
      </c>
      <c r="AO88" s="92"/>
      <c r="AP88" s="92"/>
      <c r="AQ88" s="92"/>
      <c r="AR88" s="92"/>
      <c r="AS88" s="92"/>
      <c r="AT88" s="93">
        <f>7610</f>
        <v>7610</v>
      </c>
      <c r="AU88" s="94"/>
      <c r="AV88" s="1958">
        <f t="shared" si="37"/>
        <v>0</v>
      </c>
      <c r="AW88" s="1958">
        <f t="shared" si="38"/>
        <v>0</v>
      </c>
      <c r="AX88" s="1958" t="str">
        <f t="shared" si="39"/>
        <v>地下室及智慧车库</v>
      </c>
      <c r="AY88" s="95">
        <f t="shared" si="40"/>
        <v>7105.26</v>
      </c>
      <c r="AZ88" s="87">
        <f t="shared" si="41"/>
        <v>27351.65</v>
      </c>
      <c r="BA88" s="87">
        <f t="shared" si="42"/>
        <v>16871</v>
      </c>
      <c r="BB88" s="87">
        <f t="shared" si="43"/>
        <v>0</v>
      </c>
      <c r="BC88" s="87">
        <f t="shared" si="44"/>
        <v>16871</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10480.65</v>
      </c>
      <c r="BM88" s="87">
        <f t="shared" si="54"/>
        <v>0</v>
      </c>
      <c r="BN88" s="87">
        <f t="shared" si="55"/>
        <v>0</v>
      </c>
      <c r="BO88" s="87">
        <f t="shared" si="56"/>
        <v>0</v>
      </c>
      <c r="BP88" s="87">
        <f t="shared" si="57"/>
        <v>0</v>
      </c>
      <c r="BQ88" s="87">
        <f t="shared" si="58"/>
        <v>100</v>
      </c>
      <c r="BR88" s="87">
        <f t="shared" si="59"/>
        <v>10380.65</v>
      </c>
      <c r="BS88" s="87">
        <f t="shared" si="60"/>
        <v>0</v>
      </c>
      <c r="BT88" s="96">
        <f t="shared" si="61"/>
        <v>0</v>
      </c>
    </row>
    <row r="89" spans="1:72" ht="17.399999999999999" customHeight="1">
      <c r="A89" s="84"/>
      <c r="B89" s="85"/>
      <c r="C89" s="3305" t="s">
        <v>3314</v>
      </c>
      <c r="D89" s="86" t="s">
        <v>1678</v>
      </c>
      <c r="E89" s="87">
        <f t="shared" si="33"/>
        <v>11273.78</v>
      </c>
      <c r="F89" s="88"/>
      <c r="G89" s="89">
        <f t="shared" si="34"/>
        <v>43398.35</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43328.35</v>
      </c>
      <c r="AD89" s="92"/>
      <c r="AE89" s="92"/>
      <c r="AF89" s="92"/>
      <c r="AG89" s="92"/>
      <c r="AH89" s="92"/>
      <c r="AI89" s="92"/>
      <c r="AJ89" s="92"/>
      <c r="AK89" s="92"/>
      <c r="AL89" s="92"/>
      <c r="AM89" s="92"/>
      <c r="AN89" s="91">
        <f>50938.35-AT88</f>
        <v>43328.35</v>
      </c>
      <c r="AO89" s="92"/>
      <c r="AP89" s="92"/>
      <c r="AQ89" s="92"/>
      <c r="AR89" s="92"/>
      <c r="AS89" s="92"/>
      <c r="AT89" s="93">
        <v>70</v>
      </c>
      <c r="AU89" s="94"/>
      <c r="AV89" s="1958">
        <f t="shared" si="37"/>
        <v>0</v>
      </c>
      <c r="AW89" s="1958">
        <f t="shared" si="38"/>
        <v>0</v>
      </c>
      <c r="AX89" s="1958" t="str">
        <f t="shared" si="39"/>
        <v>人防工程口部</v>
      </c>
      <c r="AY89" s="95">
        <f t="shared" si="40"/>
        <v>11255.6</v>
      </c>
      <c r="AZ89" s="87">
        <f t="shared" si="41"/>
        <v>43328.35</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43328.35</v>
      </c>
      <c r="BM89" s="87">
        <f t="shared" si="54"/>
        <v>0</v>
      </c>
      <c r="BN89" s="87">
        <f t="shared" si="55"/>
        <v>0</v>
      </c>
      <c r="BO89" s="87">
        <f t="shared" si="56"/>
        <v>0</v>
      </c>
      <c r="BP89" s="87">
        <f t="shared" si="57"/>
        <v>0</v>
      </c>
      <c r="BQ89" s="87">
        <f t="shared" si="58"/>
        <v>0</v>
      </c>
      <c r="BR89" s="87">
        <f t="shared" si="59"/>
        <v>43328.35</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59" t="s">
        <v>0</v>
      </c>
      <c r="B1" s="3459" t="s">
        <v>4</v>
      </c>
      <c r="C1" s="3459" t="s">
        <v>5</v>
      </c>
      <c r="D1" s="3460" t="s">
        <v>40</v>
      </c>
      <c r="E1" s="3460" t="s">
        <v>41</v>
      </c>
      <c r="F1" s="3460"/>
      <c r="G1" s="3460"/>
      <c r="H1" s="3460"/>
      <c r="I1" s="3460"/>
      <c r="J1" s="3460"/>
      <c r="K1" s="3460"/>
      <c r="L1" s="3460"/>
      <c r="M1" s="3460"/>
    </row>
    <row r="2" spans="1:13" ht="27" customHeight="1">
      <c r="A2" s="3459"/>
      <c r="B2" s="3459"/>
      <c r="C2" s="3459"/>
      <c r="D2" s="3460"/>
      <c r="E2" s="3460" t="s">
        <v>24</v>
      </c>
      <c r="F2" s="3460" t="s">
        <v>25</v>
      </c>
      <c r="G2" s="3460"/>
      <c r="H2" s="3460"/>
      <c r="I2" s="3460"/>
      <c r="J2" s="3460" t="s">
        <v>26</v>
      </c>
      <c r="K2" s="3460"/>
      <c r="L2" s="3460"/>
      <c r="M2" s="3460"/>
    </row>
    <row r="3" spans="1:13" ht="46.8">
      <c r="A3" s="3459"/>
      <c r="B3" s="3459"/>
      <c r="C3" s="3459"/>
      <c r="D3" s="3460"/>
      <c r="E3" s="346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0" t="s">
        <v>42</v>
      </c>
      <c r="B9" s="3460"/>
      <c r="C9" s="34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topLeftCell="B10" zoomScale="90" zoomScaleNormal="90" zoomScaleSheetLayoutView="90" workbookViewId="0">
      <selection activeCell="F34" sqref="F34"/>
    </sheetView>
  </sheetViews>
  <sheetFormatPr defaultColWidth="9.21875" defaultRowHeight="13.8"/>
  <cols>
    <col min="1" max="1" width="8.21875" style="1964" customWidth="1"/>
    <col min="2" max="2" width="10.21875" style="1964" customWidth="1"/>
    <col min="3" max="3" width="18.44140625" style="1964" customWidth="1"/>
    <col min="4" max="4" width="11.109375" style="1964" customWidth="1"/>
    <col min="5" max="5" width="13.33203125" style="1964" customWidth="1"/>
    <col min="6" max="8" width="11.44140625" style="1964" customWidth="1"/>
    <col min="9" max="9" width="10.33203125" style="1964" customWidth="1"/>
    <col min="10" max="10" width="3.109375" style="1964" customWidth="1"/>
    <col min="11" max="16" width="11.6640625" style="1964" customWidth="1"/>
    <col min="17" max="17" width="3.33203125" style="1964" customWidth="1"/>
    <col min="18" max="16384" width="9.21875" style="1964"/>
  </cols>
  <sheetData>
    <row r="1" spans="1:16" ht="17.399999999999999">
      <c r="A1" s="104" t="s">
        <v>202</v>
      </c>
      <c r="B1" s="1963"/>
      <c r="C1" s="1963"/>
      <c r="D1" s="1963"/>
      <c r="E1" s="1963"/>
      <c r="F1" s="1963"/>
      <c r="G1" s="1963"/>
      <c r="H1" s="1963"/>
      <c r="I1" s="1963"/>
      <c r="J1" s="1963"/>
      <c r="K1" s="1963"/>
      <c r="L1" s="1963"/>
    </row>
    <row r="2" spans="1:16" ht="14.4">
      <c r="A2" s="3470" t="s">
        <v>203</v>
      </c>
      <c r="B2" s="3470"/>
      <c r="C2" s="3470"/>
      <c r="D2" s="1954" t="s">
        <v>204</v>
      </c>
      <c r="E2" s="106" t="s">
        <v>205</v>
      </c>
      <c r="F2" s="1963"/>
      <c r="G2" s="1190"/>
      <c r="H2" s="1191"/>
      <c r="I2" s="1192" t="s">
        <v>857</v>
      </c>
      <c r="J2" s="1963"/>
      <c r="K2" s="1963"/>
      <c r="L2" s="1963"/>
    </row>
    <row r="3" spans="1:16" ht="15" thickBot="1">
      <c r="A3" s="3471" t="s">
        <v>206</v>
      </c>
      <c r="B3" s="3471"/>
      <c r="C3" s="3471"/>
      <c r="D3" s="107">
        <f>'数据-基础表'!AY6</f>
        <v>40278.800000000003</v>
      </c>
      <c r="E3" s="107">
        <f>'数据-基础表'!AZ5</f>
        <v>155053</v>
      </c>
      <c r="F3" s="1963"/>
      <c r="G3" s="277" t="s">
        <v>858</v>
      </c>
      <c r="H3" s="272" t="s">
        <v>859</v>
      </c>
      <c r="I3" s="1955">
        <f>ROUND('数据-基础表'!B3/'数据-基础表'!A3,2)</f>
        <v>3.85</v>
      </c>
      <c r="J3" s="1963"/>
      <c r="K3" s="1963"/>
      <c r="L3" s="1963"/>
    </row>
    <row r="4" spans="1:16" ht="14.4">
      <c r="A4" s="3472"/>
      <c r="B4" s="3473"/>
      <c r="C4" s="3474"/>
      <c r="D4" s="108" t="s">
        <v>204</v>
      </c>
      <c r="E4" s="109" t="s">
        <v>205</v>
      </c>
      <c r="F4" s="1963"/>
      <c r="G4" s="1193"/>
      <c r="H4" s="272" t="s">
        <v>860</v>
      </c>
      <c r="I4" s="1955">
        <f>ROUND(SUMIF('数据-基础表'!I9:AS9,"地上",'数据-基础表'!I5:AS5)/'数据-基础表'!A3,2)</f>
        <v>1.97</v>
      </c>
      <c r="J4" s="1963"/>
      <c r="K4" s="1963"/>
      <c r="L4" s="1963"/>
    </row>
    <row r="5" spans="1:16" ht="14.4">
      <c r="A5" s="110" t="s">
        <v>207</v>
      </c>
      <c r="B5" s="3475" t="s">
        <v>230</v>
      </c>
      <c r="C5" s="3475"/>
      <c r="D5" s="111">
        <f>ROUND($D$3*E5/$E$3,2)</f>
        <v>0</v>
      </c>
      <c r="E5" s="112">
        <f>SUMIF('数据-基础表'!$11:$11,"住宅",'数据-基础表'!$5:$5)</f>
        <v>0</v>
      </c>
      <c r="F5" s="1963"/>
      <c r="G5" s="277" t="s">
        <v>861</v>
      </c>
      <c r="H5" s="272" t="s">
        <v>859</v>
      </c>
      <c r="I5" s="1955">
        <f>ROUND(E31/D31,2)</f>
        <v>3.85</v>
      </c>
      <c r="J5" s="1963"/>
      <c r="K5" s="1963"/>
      <c r="L5" s="1963"/>
    </row>
    <row r="6" spans="1:16" ht="15" thickBot="1">
      <c r="A6" s="113"/>
      <c r="B6" s="3475" t="s">
        <v>208</v>
      </c>
      <c r="C6" s="3475"/>
      <c r="D6" s="111">
        <f>ROUND($D$3*E6/$E$3,2)</f>
        <v>40278.800000000003</v>
      </c>
      <c r="E6" s="112">
        <f>E3-E5</f>
        <v>155053</v>
      </c>
      <c r="F6" s="1963"/>
      <c r="G6" s="1193"/>
      <c r="H6" s="272" t="s">
        <v>860</v>
      </c>
      <c r="I6" s="1955">
        <f>ROUND(F31/D31,2)</f>
        <v>2.0699999999999998</v>
      </c>
      <c r="J6" s="1963"/>
      <c r="K6" s="1963"/>
      <c r="L6" s="1963"/>
    </row>
    <row r="7" spans="1:16" ht="14.4">
      <c r="A7" s="3467"/>
      <c r="B7" s="3468"/>
      <c r="C7" s="3469"/>
      <c r="D7" s="108" t="s">
        <v>204</v>
      </c>
      <c r="E7" s="114" t="s">
        <v>231</v>
      </c>
      <c r="F7" s="1963"/>
      <c r="G7" s="1148" t="s">
        <v>1645</v>
      </c>
      <c r="H7" s="1149"/>
      <c r="I7" s="1825">
        <f>I4</f>
        <v>1.97</v>
      </c>
      <c r="J7" s="1963"/>
      <c r="K7" s="1963"/>
      <c r="L7" s="1963"/>
    </row>
    <row r="8" spans="1:16" ht="14.4">
      <c r="A8" s="110" t="s">
        <v>209</v>
      </c>
      <c r="B8" s="115" t="s">
        <v>210</v>
      </c>
      <c r="C8" s="111" t="s">
        <v>211</v>
      </c>
      <c r="D8" s="111">
        <f t="shared" ref="D8:D15" si="0">ROUND($D$3*E8/$E$3,2)</f>
        <v>21607.56</v>
      </c>
      <c r="E8" s="116">
        <f>SUMIF('数据-基础表'!BB10:BK10,"地上",'数据-基础表'!BB5:BK5)</f>
        <v>83178.19</v>
      </c>
      <c r="F8" s="1963"/>
      <c r="G8" s="1965"/>
      <c r="H8" s="1965"/>
      <c r="I8" s="1963"/>
      <c r="J8" s="1963"/>
      <c r="K8" s="1963"/>
      <c r="L8" s="1963"/>
    </row>
    <row r="9" spans="1:16" ht="14.4">
      <c r="A9" s="117"/>
      <c r="B9" s="118"/>
      <c r="C9" s="111" t="s">
        <v>212</v>
      </c>
      <c r="D9" s="111">
        <f t="shared" si="0"/>
        <v>0</v>
      </c>
      <c r="E9" s="119">
        <v>0</v>
      </c>
      <c r="F9" s="1963"/>
      <c r="G9" s="1965"/>
      <c r="H9" s="1965"/>
      <c r="I9" s="1963"/>
      <c r="J9" s="1963"/>
      <c r="K9" s="1963"/>
      <c r="L9" s="1963"/>
    </row>
    <row r="10" spans="1:16" ht="14.4">
      <c r="A10" s="117"/>
      <c r="B10" s="118"/>
      <c r="C10" s="111" t="s">
        <v>213</v>
      </c>
      <c r="D10" s="111">
        <f t="shared" si="0"/>
        <v>4382.6499999999996</v>
      </c>
      <c r="E10" s="116">
        <f>SUMPRODUCT(('数据-基础表'!BB10:BK10="地下")*('数据-基础表'!BB11:BK11="商业")*('数据-基础表'!BB5:BK5))</f>
        <v>16871</v>
      </c>
      <c r="F10" s="1963"/>
      <c r="G10" s="1965"/>
      <c r="H10" s="1965"/>
      <c r="I10" s="1963"/>
      <c r="J10" s="1963"/>
      <c r="K10" s="1963"/>
      <c r="L10" s="1963"/>
    </row>
    <row r="11" spans="1:16" ht="14.4">
      <c r="A11" s="117"/>
      <c r="B11" s="118"/>
      <c r="C11" s="2310" t="s">
        <v>2325</v>
      </c>
      <c r="D11" s="111">
        <f t="shared" si="0"/>
        <v>0</v>
      </c>
      <c r="E11" s="116">
        <f>SUMPRODUCT(('数据-基础表'!BB10:BK10="地下")*('数据-基础表'!BB11:BK11="办公")*('数据-基础表'!BB5:BK5))+'数据-基础表'!AJ5</f>
        <v>0</v>
      </c>
      <c r="F11" s="1963"/>
      <c r="G11" s="1965"/>
      <c r="H11" s="1965"/>
      <c r="I11" s="1963"/>
      <c r="J11" s="1963"/>
      <c r="K11" s="1963"/>
      <c r="L11" s="1963"/>
    </row>
    <row r="12" spans="1:16" ht="14.4">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ht="14.4">
      <c r="A13" s="117"/>
      <c r="B13" s="118"/>
      <c r="C13" s="2310" t="s">
        <v>2332</v>
      </c>
      <c r="D13" s="111">
        <f t="shared" si="0"/>
        <v>0</v>
      </c>
      <c r="E13" s="116">
        <f>SUMPRODUCT(('数据-基础表'!BB10:BK10="地下")*('数据-基础表'!BB11:BK11="车库")*('数据-基础表'!BB5:BK5))</f>
        <v>0</v>
      </c>
      <c r="F13" s="1963"/>
      <c r="G13" s="1965"/>
      <c r="H13" s="1965"/>
      <c r="I13" s="1963"/>
      <c r="J13" s="1963"/>
      <c r="K13" s="1963"/>
      <c r="L13" s="1963"/>
    </row>
    <row r="14" spans="1:16" ht="14.4">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 thickBot="1">
      <c r="A16" s="113"/>
      <c r="B16" s="118"/>
      <c r="C16" s="115" t="s">
        <v>215</v>
      </c>
      <c r="D16" s="115">
        <f>SUM(D8:D15)</f>
        <v>25990.21</v>
      </c>
      <c r="E16" s="120">
        <f>SUM(E8:E15)</f>
        <v>100049.19</v>
      </c>
      <c r="F16" s="1963"/>
      <c r="G16" s="1965"/>
      <c r="H16" s="964" t="s">
        <v>219</v>
      </c>
      <c r="I16" s="965"/>
      <c r="J16" s="1963"/>
      <c r="K16" s="3461" t="s">
        <v>2563</v>
      </c>
      <c r="L16" s="3462"/>
      <c r="M16" s="3462"/>
      <c r="N16" s="3462"/>
      <c r="O16" s="3462"/>
      <c r="P16" s="3463"/>
    </row>
    <row r="17" spans="1:19" ht="14.4">
      <c r="A17" s="121" t="s">
        <v>216</v>
      </c>
      <c r="B17" s="122" t="s">
        <v>217</v>
      </c>
      <c r="C17" s="2277" t="s">
        <v>2311</v>
      </c>
      <c r="D17" s="108" t="s">
        <v>204</v>
      </c>
      <c r="E17" s="124" t="s">
        <v>205</v>
      </c>
      <c r="F17" s="125"/>
      <c r="G17" s="1357"/>
      <c r="H17" s="966" t="s">
        <v>218</v>
      </c>
      <c r="I17" s="967" t="s">
        <v>2310</v>
      </c>
      <c r="J17" s="1963"/>
      <c r="K17" s="3464" t="s">
        <v>2564</v>
      </c>
      <c r="L17" s="3465"/>
      <c r="M17" s="3466"/>
      <c r="N17" s="3464" t="s">
        <v>2565</v>
      </c>
      <c r="O17" s="3465"/>
      <c r="P17" s="3466"/>
      <c r="R17" s="2278" t="s">
        <v>2309</v>
      </c>
      <c r="S17" s="143"/>
    </row>
    <row r="18" spans="1:19" ht="14.4">
      <c r="A18" s="117"/>
      <c r="B18" s="128"/>
      <c r="C18" s="129"/>
      <c r="D18" s="2600"/>
      <c r="E18" s="130" t="s">
        <v>220</v>
      </c>
      <c r="F18" s="131" t="s">
        <v>221</v>
      </c>
      <c r="G18" s="1358" t="s">
        <v>222</v>
      </c>
      <c r="H18" s="968" t="s">
        <v>223</v>
      </c>
      <c r="I18" s="969" t="s">
        <v>224</v>
      </c>
      <c r="J18" s="1963"/>
      <c r="K18" s="2563" t="s">
        <v>2566</v>
      </c>
      <c r="L18" s="2564" t="s">
        <v>2567</v>
      </c>
      <c r="M18" s="2565" t="s">
        <v>2568</v>
      </c>
      <c r="N18" s="2563" t="s">
        <v>2566</v>
      </c>
      <c r="O18" s="2564" t="s">
        <v>2567</v>
      </c>
      <c r="P18" s="2565" t="s">
        <v>2568</v>
      </c>
      <c r="R18" s="2279" t="s">
        <v>2307</v>
      </c>
      <c r="S18" s="2279" t="s">
        <v>2308</v>
      </c>
    </row>
    <row r="19" spans="1:19" ht="14.4">
      <c r="A19" s="133"/>
      <c r="B19" s="115" t="s">
        <v>225</v>
      </c>
      <c r="C19" s="3176" t="s">
        <v>3240</v>
      </c>
      <c r="D19" s="111">
        <f t="shared" ref="D19:D26" si="1">ROUND($D$3*E19/$E$3,2)</f>
        <v>25990.22</v>
      </c>
      <c r="E19" s="134">
        <f t="shared" ref="E19:E26" si="2">SUM(F19:G19)</f>
        <v>100049.19</v>
      </c>
      <c r="F19" s="135">
        <f>'数据-基础表'!I5</f>
        <v>83178.19</v>
      </c>
      <c r="G19" s="1359">
        <f>'数据-基础表'!K5</f>
        <v>16871</v>
      </c>
      <c r="H19" s="970">
        <f>ROUND($D$3*I19/$E$3,2)</f>
        <v>14288.58</v>
      </c>
      <c r="I19" s="116">
        <f>IF($I$17="自定义",P19,M19)</f>
        <v>55003.81</v>
      </c>
      <c r="J19" s="1963"/>
      <c r="K19" s="2566">
        <f t="shared" ref="K19:K26" si="3">ROUND(E$28*E19/E$27,2)</f>
        <v>55003.81</v>
      </c>
      <c r="L19" s="272">
        <f t="shared" ref="L19:L26" si="4">ROUND(IF(COUNTIF(C19,"*住宅*")&gt;0,E$29*E19/E$32,0),2)</f>
        <v>0</v>
      </c>
      <c r="M19" s="2567">
        <f>K19+L19</f>
        <v>55003.81</v>
      </c>
      <c r="N19" s="2568"/>
      <c r="O19" s="2569"/>
      <c r="P19" s="2570">
        <f>N19+O19</f>
        <v>0</v>
      </c>
      <c r="R19" s="272">
        <f t="shared" ref="R19:S26" si="5">D19+H19</f>
        <v>40278.800000000003</v>
      </c>
      <c r="S19" s="2280">
        <f t="shared" si="5"/>
        <v>155053</v>
      </c>
    </row>
    <row r="20" spans="1:19" ht="14.4">
      <c r="A20" s="138"/>
      <c r="B20" s="115" t="s">
        <v>226</v>
      </c>
      <c r="C20" s="3176"/>
      <c r="D20" s="111">
        <f t="shared" si="1"/>
        <v>0</v>
      </c>
      <c r="E20" s="134">
        <f t="shared" si="2"/>
        <v>0</v>
      </c>
      <c r="F20" s="135"/>
      <c r="G20" s="1359"/>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0</v>
      </c>
      <c r="S20" s="2280">
        <f t="shared" si="5"/>
        <v>0</v>
      </c>
    </row>
    <row r="21" spans="1:19" ht="14.4">
      <c r="A21" s="138"/>
      <c r="B21" s="115" t="s">
        <v>226</v>
      </c>
      <c r="C21" s="3176"/>
      <c r="D21" s="111">
        <f t="shared" si="1"/>
        <v>0</v>
      </c>
      <c r="E21" s="134">
        <f t="shared" si="2"/>
        <v>0</v>
      </c>
      <c r="F21" s="135"/>
      <c r="G21" s="1359"/>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ht="14.4">
      <c r="A22" s="138"/>
      <c r="B22" s="115" t="s">
        <v>226</v>
      </c>
      <c r="C22" s="3177"/>
      <c r="D22" s="111">
        <f t="shared" si="1"/>
        <v>0</v>
      </c>
      <c r="E22" s="134">
        <f t="shared" si="2"/>
        <v>0</v>
      </c>
      <c r="F22" s="139"/>
      <c r="G22" s="1360"/>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ht="14.4">
      <c r="A23" s="138"/>
      <c r="B23" s="115" t="s">
        <v>226</v>
      </c>
      <c r="C23" s="3177"/>
      <c r="D23" s="111">
        <f>ROUND($D$3*E23/$E$3,2)</f>
        <v>0</v>
      </c>
      <c r="E23" s="134">
        <f>SUM(F23:G23)</f>
        <v>0</v>
      </c>
      <c r="F23" s="139"/>
      <c r="G23" s="1360"/>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ht="14.4">
      <c r="A24" s="138"/>
      <c r="B24" s="115" t="s">
        <v>226</v>
      </c>
      <c r="C24" s="3178"/>
      <c r="D24" s="111">
        <f>ROUND($D$3*E24/$E$3,2)</f>
        <v>0</v>
      </c>
      <c r="E24" s="134">
        <f>SUM(F24:G24)</f>
        <v>0</v>
      </c>
      <c r="F24" s="139"/>
      <c r="G24" s="1360"/>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ht="14.4">
      <c r="A25" s="138"/>
      <c r="B25" s="115" t="s">
        <v>226</v>
      </c>
      <c r="C25" s="3177"/>
      <c r="D25" s="111">
        <f t="shared" si="1"/>
        <v>0</v>
      </c>
      <c r="E25" s="134">
        <f t="shared" si="2"/>
        <v>0</v>
      </c>
      <c r="F25" s="139"/>
      <c r="G25" s="1360"/>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ht="14.4">
      <c r="A26" s="138"/>
      <c r="B26" s="115" t="s">
        <v>226</v>
      </c>
      <c r="C26" s="141"/>
      <c r="D26" s="111">
        <f t="shared" si="1"/>
        <v>0</v>
      </c>
      <c r="E26" s="134">
        <f t="shared" si="2"/>
        <v>0</v>
      </c>
      <c r="F26" s="139"/>
      <c r="G26" s="1360"/>
      <c r="H26" s="110">
        <f t="shared" si="6"/>
        <v>0</v>
      </c>
      <c r="I26" s="116">
        <f t="shared" si="7"/>
        <v>0</v>
      </c>
      <c r="J26" s="1963"/>
      <c r="K26" s="2571">
        <f t="shared" si="3"/>
        <v>0</v>
      </c>
      <c r="L26" s="277">
        <f t="shared" si="4"/>
        <v>0</v>
      </c>
      <c r="M26" s="145">
        <f t="shared" si="8"/>
        <v>0</v>
      </c>
      <c r="N26" s="2572"/>
      <c r="O26" s="2573"/>
      <c r="P26" s="2574">
        <f t="shared" si="9"/>
        <v>0</v>
      </c>
      <c r="R26" s="272">
        <f t="shared" si="5"/>
        <v>0</v>
      </c>
      <c r="S26" s="2280">
        <f t="shared" si="5"/>
        <v>0</v>
      </c>
    </row>
    <row r="27" spans="1:19" ht="15" thickBot="1">
      <c r="A27" s="138"/>
      <c r="B27" s="111"/>
      <c r="C27" s="127" t="s">
        <v>215</v>
      </c>
      <c r="D27" s="134">
        <f>SUM(D19:D26)</f>
        <v>25990.22</v>
      </c>
      <c r="E27" s="142">
        <f>IF(SUM(E19:E26)='数据-基础表'!BA5,SUM(E19:E26),IF(F27="地上面积有误","面积有误","地下面积有误"))</f>
        <v>100049.19</v>
      </c>
      <c r="F27" s="134">
        <f>IF(SUM(F19:F26)=E8,SUM(F19:F26),"地上面积有误")</f>
        <v>83178.19</v>
      </c>
      <c r="G27" s="112">
        <f>SUM(G19:G26)</f>
        <v>16871</v>
      </c>
      <c r="H27" s="971">
        <f>SUM(H19:H26)</f>
        <v>14288.58</v>
      </c>
      <c r="I27" s="972">
        <f>SUM(I19:I26)</f>
        <v>55003.81</v>
      </c>
      <c r="J27" s="1963"/>
      <c r="K27" s="2575">
        <f t="shared" ref="K27:P27" si="10">SUM(K19:K26)</f>
        <v>55003.81</v>
      </c>
      <c r="L27" s="2576">
        <f t="shared" si="10"/>
        <v>0</v>
      </c>
      <c r="M27" s="2577">
        <f t="shared" si="10"/>
        <v>55003.81</v>
      </c>
      <c r="N27" s="2575">
        <f t="shared" si="10"/>
        <v>0</v>
      </c>
      <c r="O27" s="2576">
        <f t="shared" si="10"/>
        <v>0</v>
      </c>
      <c r="P27" s="2578">
        <f t="shared" si="10"/>
        <v>0</v>
      </c>
      <c r="R27" s="2284">
        <f>IF(SUM(R19:R26)=$D$3,SUM(R19:R26),SUM(R19:R26)&amp;"误差"&amp;ROUND(SUM(R19:R26)-$D$3,2))</f>
        <v>40278.800000000003</v>
      </c>
      <c r="S27" s="272">
        <f>IF(SUM(S19:S26)=$E$3,SUM(S19:S26),SUM(S19:S26)&amp;"误差"&amp;ROUND(SUM(S19:S26)-E3,2))</f>
        <v>155053</v>
      </c>
    </row>
    <row r="28" spans="1:19" ht="14.4">
      <c r="A28" s="138"/>
      <c r="B28" s="115" t="s">
        <v>227</v>
      </c>
      <c r="C28" s="136" t="s">
        <v>228</v>
      </c>
      <c r="D28" s="111">
        <f>ROUND($D$3*E28/$E$3,2)</f>
        <v>14288.58</v>
      </c>
      <c r="E28" s="134">
        <f>SUM(F28:G28)</f>
        <v>55003.81</v>
      </c>
      <c r="F28" s="143">
        <f>'数据-基础表'!BQ5+'数据-基础表'!BS5</f>
        <v>100</v>
      </c>
      <c r="G28" s="144">
        <f>'数据-基础表'!BR5+'数据-基础表'!BT5</f>
        <v>54903.81</v>
      </c>
      <c r="H28" s="1963"/>
      <c r="I28" s="1963"/>
      <c r="J28" s="1963"/>
      <c r="K28" s="1963"/>
      <c r="L28" s="1963"/>
    </row>
    <row r="29" spans="1:19" ht="14.4">
      <c r="A29" s="138"/>
      <c r="B29" s="115" t="s">
        <v>227</v>
      </c>
      <c r="C29" s="2292" t="s">
        <v>2318</v>
      </c>
      <c r="D29" s="111">
        <f>ROUND($D$3*E29/$E$3,2)</f>
        <v>0</v>
      </c>
      <c r="E29" s="134">
        <f>SUM(F29:G29)</f>
        <v>0</v>
      </c>
      <c r="F29" s="143">
        <f>'数据-基础表'!BM5+'数据-基础表'!BO5</f>
        <v>0</v>
      </c>
      <c r="G29" s="145">
        <f>'数据-基础表'!BN5+'数据-基础表'!BP5</f>
        <v>0</v>
      </c>
      <c r="H29" s="1963"/>
      <c r="I29" s="1963"/>
      <c r="J29" s="1963"/>
      <c r="K29" s="1963"/>
      <c r="L29" s="1963"/>
    </row>
    <row r="30" spans="1:19" ht="14.4">
      <c r="A30" s="138"/>
      <c r="B30" s="111"/>
      <c r="C30" s="146" t="s">
        <v>215</v>
      </c>
      <c r="D30" s="134">
        <f>SUM(D28:D29)</f>
        <v>14288.58</v>
      </c>
      <c r="E30" s="134">
        <f>SUM(E28:E29)</f>
        <v>55003.81</v>
      </c>
      <c r="F30" s="134">
        <f>SUM(F28:F29)</f>
        <v>100</v>
      </c>
      <c r="G30" s="112">
        <f>SUM(G28:G29)</f>
        <v>54903.81</v>
      </c>
      <c r="H30" s="1963"/>
      <c r="I30" s="1963"/>
      <c r="J30" s="1963"/>
      <c r="K30" s="1963"/>
      <c r="L30" s="1963"/>
    </row>
    <row r="31" spans="1:19" ht="32.25" customHeight="1" thickBot="1">
      <c r="A31" s="1361"/>
      <c r="B31" s="1362" t="s">
        <v>229</v>
      </c>
      <c r="C31" s="2309" t="s">
        <v>2320</v>
      </c>
      <c r="D31" s="1363">
        <f>D27+D30</f>
        <v>40278.800000000003</v>
      </c>
      <c r="E31" s="1363">
        <f>E27+E30</f>
        <v>155053</v>
      </c>
      <c r="F31" s="1364">
        <f>F27+F30</f>
        <v>83278.19</v>
      </c>
      <c r="G31" s="1365">
        <f>G27+G30</f>
        <v>71774.81</v>
      </c>
      <c r="H31" s="1963"/>
      <c r="I31" s="1963"/>
      <c r="J31" s="1963"/>
      <c r="K31" s="1963"/>
      <c r="L31" s="1963"/>
    </row>
    <row r="32" spans="1:19" ht="14.4">
      <c r="A32" s="1963"/>
      <c r="B32" s="2321" t="s">
        <v>2319</v>
      </c>
      <c r="C32" s="2605"/>
      <c r="D32" s="1193"/>
      <c r="E32" s="1193">
        <f>SUMIF(C19:C26,"*住宅*",E19:E26)</f>
        <v>0</v>
      </c>
      <c r="F32" s="1193"/>
      <c r="G32" s="1193"/>
    </row>
    <row r="33" spans="4:6">
      <c r="D33" s="1967"/>
    </row>
    <row r="34" spans="4:6" ht="14.4">
      <c r="E34" s="3694" t="s">
        <v>3315</v>
      </c>
      <c r="F34" s="1967">
        <f>'数据-基础表'!AN89</f>
        <v>43328.35</v>
      </c>
    </row>
    <row r="35" spans="4:6" ht="14.4">
      <c r="E35" s="3694" t="s">
        <v>3316</v>
      </c>
      <c r="F35" s="3307">
        <f>F34+E27</f>
        <v>143377.54</v>
      </c>
    </row>
    <row r="36" spans="4:6" ht="14.4">
      <c r="E36" s="3694" t="s">
        <v>3317</v>
      </c>
      <c r="F36" s="1967">
        <f>E30-F34</f>
        <v>11675.46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AG60" sqref="AG60"/>
    </sheetView>
  </sheetViews>
  <sheetFormatPr defaultColWidth="13.77734375" defaultRowHeight="13.2"/>
  <cols>
    <col min="1" max="1" width="13.88671875" style="1208" customWidth="1"/>
    <col min="2" max="3" width="12" style="1195" customWidth="1"/>
    <col min="4" max="4" width="9.109375" style="1209" customWidth="1"/>
    <col min="5" max="5" width="15" style="1195" bestFit="1" customWidth="1"/>
    <col min="6" max="10" width="8.88671875" style="1195" customWidth="1"/>
    <col min="11" max="12" width="12.33203125" style="1210" customWidth="1"/>
    <col min="13" max="13" width="8.6640625" style="1195" customWidth="1"/>
    <col min="14" max="14" width="9.77734375" style="1195" customWidth="1"/>
    <col min="15" max="16" width="9.6640625" style="1195" customWidth="1"/>
    <col min="17" max="17" width="10.88671875" style="1195" customWidth="1"/>
    <col min="18" max="19" width="12.44140625" style="1195" customWidth="1"/>
    <col min="20" max="20" width="12.109375" style="1195" customWidth="1"/>
    <col min="21" max="21" width="7.44140625" style="1195" customWidth="1"/>
    <col min="22" max="22" width="6.33203125" style="1195" customWidth="1"/>
    <col min="23" max="24" width="6.77734375" style="1195" customWidth="1"/>
    <col min="25" max="25" width="8.109375" style="1195" customWidth="1"/>
    <col min="26" max="30" width="6.77734375" style="1195" customWidth="1"/>
    <col min="31" max="31" width="6.44140625" style="1195" customWidth="1"/>
    <col min="32" max="33" width="7.21875" style="1195" customWidth="1"/>
    <col min="34" max="34" width="14.21875" style="1195" customWidth="1"/>
    <col min="35" max="39" width="8" style="1195" customWidth="1"/>
    <col min="40" max="41" width="13.77734375" style="1977"/>
    <col min="42" max="42" width="0" style="1977" hidden="1" customWidth="1"/>
    <col min="43" max="83" width="13.77734375" style="1977"/>
    <col min="84" max="16384" width="13.77734375" style="1195"/>
  </cols>
  <sheetData>
    <row r="1" spans="1:83" ht="35.4" thickBot="1">
      <c r="A1" s="147"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29.4" thickBot="1">
      <c r="A2" s="148" t="s">
        <v>235</v>
      </c>
      <c r="B2" s="2317">
        <f>项目基本情况!D3</f>
        <v>44027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4.4"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3.2">
      <c r="A5" s="2283"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9" t="s">
        <v>2569</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2321</v>
      </c>
      <c r="AI5" s="170" t="s">
        <v>2290</v>
      </c>
      <c r="AJ5" s="170" t="s">
        <v>258</v>
      </c>
      <c r="AK5" s="158" t="s">
        <v>259</v>
      </c>
      <c r="AL5" s="158" t="s">
        <v>260</v>
      </c>
      <c r="AM5" s="171" t="s">
        <v>261</v>
      </c>
      <c r="AN5" s="2349" t="s">
        <v>2371</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4">
      <c r="A6" s="2281" t="str">
        <f>'数据-汇总表'!C19</f>
        <v>商业</v>
      </c>
      <c r="B6" s="2316" t="str">
        <f>IF(A6=0,"","经营性")</f>
        <v>经营性</v>
      </c>
      <c r="C6" s="172" t="s">
        <v>2991</v>
      </c>
      <c r="D6" s="2287">
        <f>SUMIF(项目基本情况!D$15:I$15,C6,项目基本情况!D$18:I$18)</f>
        <v>40</v>
      </c>
      <c r="E6" s="2288">
        <f>IF(B6="","",SUMIF(项目基本情况!D$15:I$15,C6,项目基本情况!D$17:I$17))</f>
        <v>58329</v>
      </c>
      <c r="F6" s="173">
        <f>SUMIF(项目基本情况!D$15:I$15,C6,项目基本情况!D$19:I$19)</f>
        <v>39.18</v>
      </c>
      <c r="G6" s="174">
        <f t="shared" ref="G6:G13" si="0">IF(ISERROR(ROUND(POWER(1+H6,D6-F6)*(POWER(1+H6,F6)-1)/(POWER(1+H6,D6)-1),3)),0,ROUND(POWER(1+H6,D6-F6)*(POWER(1+H6,F6)-1)/(POWER(1+H6,D6)-1),3))</f>
        <v>0.99299999999999999</v>
      </c>
      <c r="H6" s="2966">
        <v>0.05</v>
      </c>
      <c r="I6" s="2966">
        <v>5.5E-2</v>
      </c>
      <c r="J6" s="175">
        <v>0.08</v>
      </c>
      <c r="K6" s="178">
        <f>SUMIF('数据-汇总表'!C$19:C$33,'数据-取费表'!A6,'数据-汇总表'!E$19:E$33)</f>
        <v>100049.19</v>
      </c>
      <c r="L6" s="3295">
        <v>4200</v>
      </c>
      <c r="M6" s="176">
        <f t="shared" ref="M6:M14" si="1">ROUND(K6*L6/10000,0)</f>
        <v>42021</v>
      </c>
      <c r="N6" s="2968">
        <v>0</v>
      </c>
      <c r="O6" s="176">
        <f>IF($N$5="成新度","——",ROUND(M6*N6,0))</f>
        <v>0</v>
      </c>
      <c r="P6" s="177">
        <f>IF($N$5="成新度","——",M6-O6)</f>
        <v>42021</v>
      </c>
      <c r="Q6" s="3297">
        <v>0.12</v>
      </c>
      <c r="R6" s="178">
        <f>SUMIF('数据-汇总表'!C$19:C$33,A6,'数据-汇总表'!R$19:R$33)</f>
        <v>40278.800000000003</v>
      </c>
      <c r="S6" s="132">
        <f>IF('数据-汇总表'!$I$17="按面积比例",SUMIF('数据-汇总表'!C$19:C$33,A6,'数据-汇总表'!K$19:K$33),SUMIF('数据-汇总表'!C$19:C$33,A6,'数据-汇总表'!N$19:N$33))</f>
        <v>55003.81</v>
      </c>
      <c r="T6" s="2213">
        <f>IF($T$4="按面积比例",IF(ISERROR(ROUND($M$14*S6/S$16,0)),"0",ROUND($M$14*S6/S$16,0)),"需自行计算录入")</f>
        <v>23102</v>
      </c>
      <c r="U6" s="3292">
        <f>土地案例!D18</f>
        <v>3.93</v>
      </c>
      <c r="V6" s="180">
        <v>0.03</v>
      </c>
      <c r="W6" s="180">
        <v>0.15</v>
      </c>
      <c r="X6" s="2300"/>
      <c r="Y6" s="181">
        <v>1</v>
      </c>
      <c r="Z6" s="182"/>
      <c r="AA6" s="175"/>
      <c r="AB6" s="175"/>
      <c r="AC6" s="2303"/>
      <c r="AD6" s="183"/>
      <c r="AE6" s="968">
        <f ca="1">IF(AN6="",0,SUMIF(INDIRECT("'"&amp;AN6&amp;"'"&amp;"!E:E"),$AE$5,INDIRECT("'"&amp;AN6&amp;"'"&amp;"!F:F")))</f>
        <v>37.18</v>
      </c>
      <c r="AF6" s="140"/>
      <c r="AG6" s="1205">
        <f>IF(AF6="",0,AE6-AF6)</f>
        <v>0</v>
      </c>
      <c r="AH6" s="3179">
        <f>K6</f>
        <v>100049.19</v>
      </c>
      <c r="AI6" s="186">
        <v>365</v>
      </c>
      <c r="AJ6" s="187"/>
      <c r="AK6" s="3291">
        <v>0.01</v>
      </c>
      <c r="AL6" s="189">
        <v>1.5E-3</v>
      </c>
      <c r="AM6" s="2348">
        <v>0.01</v>
      </c>
      <c r="AN6" s="2350" t="s">
        <v>3105</v>
      </c>
      <c r="AO6" s="1979"/>
      <c r="AP6" s="1196">
        <f>ROUND(1-1/(1+H6)^F6,3)</f>
        <v>0.85199999999999998</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4">
      <c r="A7" s="2281">
        <f>'数据-汇总表'!C20</f>
        <v>0</v>
      </c>
      <c r="B7" s="2316" t="str">
        <f t="shared" ref="B7:B13" si="2">IF(A7=0,"","经营性")</f>
        <v/>
      </c>
      <c r="C7" s="172"/>
      <c r="D7" s="2287">
        <f>SUMIF(项目基本情况!D$15:I$15,C7,项目基本情况!D$18:I$18)</f>
        <v>0</v>
      </c>
      <c r="E7" s="2288" t="str">
        <f>IF(B7="","",SUMIF(项目基本情况!D$15:I$15,C7,项目基本情况!D$17:I$17))</f>
        <v/>
      </c>
      <c r="F7" s="173">
        <f>SUMIF(项目基本情况!D$15:I$15,C7,项目基本情况!D$19:I$19)</f>
        <v>0</v>
      </c>
      <c r="G7" s="174">
        <f t="shared" si="0"/>
        <v>0</v>
      </c>
      <c r="H7" s="2966"/>
      <c r="I7" s="2966"/>
      <c r="J7" s="175"/>
      <c r="K7" s="178">
        <f>SUMIF('数据-汇总表'!C$19:C$33,'数据-取费表'!A7,'数据-汇总表'!E$19:E$33)</f>
        <v>0</v>
      </c>
      <c r="L7" s="2967"/>
      <c r="M7" s="176">
        <f t="shared" si="1"/>
        <v>0</v>
      </c>
      <c r="N7" s="2968"/>
      <c r="O7" s="176">
        <f t="shared" ref="O7:O14" si="3">IF($N$5="成新度","——",ROUND(M7*N7,0))</f>
        <v>0</v>
      </c>
      <c r="P7" s="177">
        <f t="shared" ref="P7:P14" si="4">IF($N$5="成新度","——",M7-O7)</f>
        <v>0</v>
      </c>
      <c r="Q7" s="3219"/>
      <c r="R7" s="178">
        <f>SUMIF('数据-汇总表'!C$19:C$33,A7,'数据-汇总表'!R$19:R$33)</f>
        <v>0</v>
      </c>
      <c r="S7" s="132">
        <f>IF('数据-汇总表'!$I$17="按面积比例",SUMIF('数据-汇总表'!C$19:C$33,A7,'数据-汇总表'!K$19:K$33),SUMIF('数据-汇总表'!C$19:C$33,A7,'数据-汇总表'!N$19:N$33))</f>
        <v>0</v>
      </c>
      <c r="T7" s="2213">
        <f t="shared" ref="T7:T13" si="5">IF($T$4="按面积比例",IF(ISERROR(ROUND($M$14*S7/S$16,0)),"0",ROUND($M$14*S7/S$16,0)),"需自行计算录入")</f>
        <v>0</v>
      </c>
      <c r="U7" s="179"/>
      <c r="V7" s="180"/>
      <c r="W7" s="3216"/>
      <c r="X7" s="2300"/>
      <c r="Y7" s="181"/>
      <c r="Z7" s="182"/>
      <c r="AA7" s="175"/>
      <c r="AB7" s="175"/>
      <c r="AC7" s="2303"/>
      <c r="AD7" s="183"/>
      <c r="AE7" s="968">
        <f t="shared" ref="AE7:AE13" ca="1" si="6">IF(AN7="",0,SUMIF(INDIRECT("'"&amp;AN7&amp;"'"&amp;"!E:E"),$AE$5,INDIRECT("'"&amp;AN7&amp;"'"&amp;"!F:F")))</f>
        <v>0</v>
      </c>
      <c r="AF7" s="140"/>
      <c r="AG7" s="1205">
        <f t="shared" ref="AG7:AG13" si="7">IF(AF7="",0,AE7-AF7)</f>
        <v>0</v>
      </c>
      <c r="AH7" s="3179"/>
      <c r="AI7" s="186"/>
      <c r="AJ7" s="187"/>
      <c r="AK7" s="188"/>
      <c r="AL7" s="189"/>
      <c r="AM7" s="2348"/>
      <c r="AN7" s="2350"/>
      <c r="AO7" s="1979">
        <f>K7/35</f>
        <v>0</v>
      </c>
      <c r="AP7" s="1196">
        <f t="shared" ref="AP7:AP13" si="8">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4">
      <c r="A8" s="2281">
        <f>'数据-汇总表'!C21</f>
        <v>0</v>
      </c>
      <c r="B8" s="2316" t="str">
        <f t="shared" si="2"/>
        <v/>
      </c>
      <c r="C8" s="172"/>
      <c r="D8" s="2287">
        <f>SUMIF(项目基本情况!D$15:I$15,C8,项目基本情况!D$18:I$18)</f>
        <v>0</v>
      </c>
      <c r="E8" s="2288" t="str">
        <f>IF(B8="","",SUMIF(项目基本情况!D$15:I$15,C8,项目基本情况!D$17:I$17))</f>
        <v/>
      </c>
      <c r="F8" s="173">
        <f>SUMIF(项目基本情况!D$15:I$15,C8,项目基本情况!D$19:I$19)</f>
        <v>0</v>
      </c>
      <c r="G8" s="174">
        <f t="shared" si="0"/>
        <v>0</v>
      </c>
      <c r="H8" s="2966"/>
      <c r="I8" s="2966"/>
      <c r="J8" s="175"/>
      <c r="K8" s="178">
        <f>SUMIF('数据-汇总表'!C$19:C$33,'数据-取费表'!A8,'数据-汇总表'!E$19:E$33)</f>
        <v>0</v>
      </c>
      <c r="L8" s="2967"/>
      <c r="M8" s="176">
        <f>ROUND(K8*L8/10000,0)</f>
        <v>0</v>
      </c>
      <c r="N8" s="2968"/>
      <c r="O8" s="176">
        <f t="shared" si="3"/>
        <v>0</v>
      </c>
      <c r="P8" s="177">
        <f t="shared" si="4"/>
        <v>0</v>
      </c>
      <c r="Q8" s="3219"/>
      <c r="R8" s="178">
        <f>SUMIF('数据-汇总表'!C$19:C$33,A8,'数据-汇总表'!R$19:R$33)</f>
        <v>0</v>
      </c>
      <c r="S8" s="132">
        <f>IF('数据-汇总表'!$I$17="按面积比例",SUMIF('数据-汇总表'!C$19:C$33,A8,'数据-汇总表'!K$19:K$33),SUMIF('数据-汇总表'!C$19:C$33,A8,'数据-汇总表'!N$19:N$33))</f>
        <v>0</v>
      </c>
      <c r="T8" s="2213">
        <f t="shared" si="5"/>
        <v>0</v>
      </c>
      <c r="U8" s="179"/>
      <c r="V8" s="180"/>
      <c r="W8" s="180"/>
      <c r="X8" s="2300"/>
      <c r="Y8" s="181"/>
      <c r="Z8" s="182"/>
      <c r="AA8" s="175"/>
      <c r="AB8" s="175"/>
      <c r="AC8" s="2303"/>
      <c r="AD8" s="183"/>
      <c r="AE8" s="968">
        <f t="shared" ca="1" si="6"/>
        <v>0</v>
      </c>
      <c r="AF8" s="140"/>
      <c r="AG8" s="1205">
        <f t="shared" si="7"/>
        <v>0</v>
      </c>
      <c r="AH8" s="3179"/>
      <c r="AI8" s="186"/>
      <c r="AJ8" s="187"/>
      <c r="AK8" s="188"/>
      <c r="AL8" s="189"/>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4">
      <c r="A9" s="2281">
        <f>'数据-汇总表'!C22</f>
        <v>0</v>
      </c>
      <c r="B9" s="2316" t="str">
        <f t="shared" si="2"/>
        <v/>
      </c>
      <c r="C9" s="172"/>
      <c r="D9" s="2287">
        <f>SUMIF(项目基本情况!D$15:I$15,C9,项目基本情况!D$18:I$18)</f>
        <v>0</v>
      </c>
      <c r="E9" s="2288" t="str">
        <f>IF(B9="","",SUMIF(项目基本情况!D$15:I$15,C9,项目基本情况!D$17:I$17))</f>
        <v/>
      </c>
      <c r="F9" s="173">
        <f>SUMIF(项目基本情况!D$15:I$15,C9,项目基本情况!D$19:I$19)</f>
        <v>0</v>
      </c>
      <c r="G9" s="174">
        <f t="shared" si="0"/>
        <v>0</v>
      </c>
      <c r="H9" s="2966"/>
      <c r="I9" s="2966"/>
      <c r="J9" s="175"/>
      <c r="K9" s="178">
        <f>SUMIF('数据-汇总表'!C$19:C$33,'数据-取费表'!A9,'数据-汇总表'!E$19:E$33)</f>
        <v>0</v>
      </c>
      <c r="L9" s="192"/>
      <c r="M9" s="176">
        <f t="shared" si="1"/>
        <v>0</v>
      </c>
      <c r="N9" s="193"/>
      <c r="O9" s="176">
        <f t="shared" si="3"/>
        <v>0</v>
      </c>
      <c r="P9" s="177">
        <f t="shared" si="4"/>
        <v>0</v>
      </c>
      <c r="Q9" s="3220"/>
      <c r="R9" s="178">
        <f>SUMIF('数据-汇总表'!C$19:C$33,A9,'数据-汇总表'!R$19:R$33)</f>
        <v>0</v>
      </c>
      <c r="S9" s="132">
        <f>IF('数据-汇总表'!$I$17="按面积比例",SUMIF('数据-汇总表'!C$19:C$33,A9,'数据-汇总表'!K$19:K$33),SUMIF('数据-汇总表'!C$19:C$33,A9,'数据-汇总表'!N$19:N$33))</f>
        <v>0</v>
      </c>
      <c r="T9" s="2213">
        <f t="shared" si="5"/>
        <v>0</v>
      </c>
      <c r="U9" s="179"/>
      <c r="V9" s="180"/>
      <c r="W9" s="3216"/>
      <c r="X9" s="2300"/>
      <c r="Y9" s="181"/>
      <c r="Z9" s="182"/>
      <c r="AA9" s="175"/>
      <c r="AB9" s="175"/>
      <c r="AC9" s="2303"/>
      <c r="AD9" s="183"/>
      <c r="AE9" s="968">
        <f t="shared" ca="1" si="6"/>
        <v>0</v>
      </c>
      <c r="AF9" s="140"/>
      <c r="AG9" s="1205">
        <f t="shared" si="7"/>
        <v>0</v>
      </c>
      <c r="AH9" s="3179"/>
      <c r="AI9" s="186"/>
      <c r="AJ9" s="187"/>
      <c r="AK9" s="188"/>
      <c r="AL9" s="189"/>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4">
      <c r="A10" s="2281">
        <f>'数据-汇总表'!C23</f>
        <v>0</v>
      </c>
      <c r="B10" s="2316" t="str">
        <f t="shared" si="2"/>
        <v/>
      </c>
      <c r="C10" s="172"/>
      <c r="D10" s="2287">
        <f>SUMIF(项目基本情况!D$15:I$15,C10,项目基本情况!D$18:I$18)</f>
        <v>0</v>
      </c>
      <c r="E10" s="2288" t="str">
        <f>IF(B10="","",SUMIF(项目基本情况!D$15:I$15,C10,项目基本情况!D$17:I$17))</f>
        <v/>
      </c>
      <c r="F10" s="173">
        <f>SUMIF(项目基本情况!D$15:I$15,C10,项目基本情况!D$19:I$19)</f>
        <v>0</v>
      </c>
      <c r="G10" s="174">
        <f t="shared" si="0"/>
        <v>0</v>
      </c>
      <c r="H10" s="2966"/>
      <c r="I10" s="2966"/>
      <c r="J10" s="175"/>
      <c r="K10" s="178">
        <f>SUMIF('数据-汇总表'!C$19:C$33,'数据-取费表'!A10,'数据-汇总表'!E$19:E$33)</f>
        <v>0</v>
      </c>
      <c r="L10" s="192"/>
      <c r="M10" s="176">
        <f t="shared" si="1"/>
        <v>0</v>
      </c>
      <c r="N10" s="193"/>
      <c r="O10" s="176">
        <f t="shared" si="3"/>
        <v>0</v>
      </c>
      <c r="P10" s="177">
        <f t="shared" si="4"/>
        <v>0</v>
      </c>
      <c r="Q10" s="3220"/>
      <c r="R10" s="178">
        <f>SUMIF('数据-汇总表'!C$19:C$33,A10,'数据-汇总表'!R$19:R$33)</f>
        <v>0</v>
      </c>
      <c r="S10" s="132">
        <f>IF('数据-汇总表'!$I$17="按面积比例",SUMIF('数据-汇总表'!C$19:C$33,A10,'数据-汇总表'!K$19:K$33),SUMIF('数据-汇总表'!C$19:C$33,A10,'数据-汇总表'!N$19:N$33))</f>
        <v>0</v>
      </c>
      <c r="T10" s="2213">
        <f t="shared" si="5"/>
        <v>0</v>
      </c>
      <c r="U10" s="179"/>
      <c r="V10" s="180"/>
      <c r="W10" s="180"/>
      <c r="X10" s="2300"/>
      <c r="Y10" s="181"/>
      <c r="Z10" s="182"/>
      <c r="AA10" s="175"/>
      <c r="AB10" s="175"/>
      <c r="AC10" s="2303"/>
      <c r="AD10" s="183"/>
      <c r="AE10" s="968">
        <f t="shared" ca="1" si="6"/>
        <v>0</v>
      </c>
      <c r="AF10" s="140"/>
      <c r="AG10" s="1205">
        <f t="shared" si="7"/>
        <v>0</v>
      </c>
      <c r="AH10" s="140"/>
      <c r="AI10" s="186"/>
      <c r="AJ10" s="187"/>
      <c r="AK10" s="188"/>
      <c r="AL10" s="189"/>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4">
      <c r="A11" s="2281">
        <f>'数据-汇总表'!C24</f>
        <v>0</v>
      </c>
      <c r="B11" s="2316" t="str">
        <f t="shared" si="2"/>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0"/>
        <v>0</v>
      </c>
      <c r="H11" s="2966"/>
      <c r="I11" s="2966"/>
      <c r="J11" s="175"/>
      <c r="K11" s="178">
        <f>SUMIF('数据-汇总表'!C$19:C$33,'数据-取费表'!A11,'数据-汇总表'!E$19:E$33)</f>
        <v>0</v>
      </c>
      <c r="L11" s="192"/>
      <c r="M11" s="176">
        <f t="shared" si="1"/>
        <v>0</v>
      </c>
      <c r="N11" s="193"/>
      <c r="O11" s="176">
        <f t="shared" si="3"/>
        <v>0</v>
      </c>
      <c r="P11" s="177">
        <f t="shared" si="4"/>
        <v>0</v>
      </c>
      <c r="Q11" s="3220"/>
      <c r="R11" s="178">
        <f>SUMIF('数据-汇总表'!C$19:C$33,A11,'数据-汇总表'!R$19:R$33)</f>
        <v>0</v>
      </c>
      <c r="S11" s="132">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8">
        <f t="shared" ca="1" si="6"/>
        <v>0</v>
      </c>
      <c r="AF11" s="140"/>
      <c r="AG11" s="1205">
        <f t="shared" si="7"/>
        <v>0</v>
      </c>
      <c r="AH11" s="3179"/>
      <c r="AI11" s="186"/>
      <c r="AJ11" s="187"/>
      <c r="AK11" s="188"/>
      <c r="AL11" s="189"/>
      <c r="AM11" s="2348"/>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4">
      <c r="A12" s="2281">
        <f>'数据-汇总表'!C25</f>
        <v>0</v>
      </c>
      <c r="B12" s="2316" t="str">
        <f t="shared" si="2"/>
        <v/>
      </c>
      <c r="C12" s="172"/>
      <c r="D12" s="2287">
        <f>SUMIF(项目基本情况!D$15:I$15,C12,项目基本情况!D$18:I$18)</f>
        <v>0</v>
      </c>
      <c r="E12" s="2288" t="str">
        <f>IF(B12="","",SUMIF(项目基本情况!D$15:I$15,C12,项目基本情况!D$17:I$17))</f>
        <v/>
      </c>
      <c r="F12" s="173">
        <f>SUMIF(项目基本情况!D$15:I$15,C12,项目基本情况!D$19:I$19)</f>
        <v>0</v>
      </c>
      <c r="G12" s="174">
        <f t="shared" si="0"/>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8">
        <f t="shared" ca="1" si="6"/>
        <v>0</v>
      </c>
      <c r="AF12" s="140"/>
      <c r="AG12" s="1205">
        <f t="shared" si="7"/>
        <v>0</v>
      </c>
      <c r="AH12" s="140"/>
      <c r="AI12" s="186"/>
      <c r="AJ12" s="187"/>
      <c r="AK12" s="195"/>
      <c r="AL12" s="196"/>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4">
      <c r="A13" s="2281">
        <f>'数据-汇总表'!C26</f>
        <v>0</v>
      </c>
      <c r="B13" s="2316" t="str">
        <f t="shared" si="2"/>
        <v/>
      </c>
      <c r="C13" s="172"/>
      <c r="D13" s="2287">
        <f>SUMIF(项目基本情况!D$15:I$15,C13,项目基本情况!D$18:I$18)</f>
        <v>0</v>
      </c>
      <c r="E13" s="228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8">
        <f t="shared" ca="1" si="6"/>
        <v>0</v>
      </c>
      <c r="AF13" s="140"/>
      <c r="AG13" s="1205">
        <f t="shared" si="7"/>
        <v>0</v>
      </c>
      <c r="AH13" s="140"/>
      <c r="AI13" s="186"/>
      <c r="AJ13" s="187"/>
      <c r="AK13" s="188"/>
      <c r="AL13" s="189"/>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3.8">
      <c r="A14" s="2282" t="s">
        <v>2312</v>
      </c>
      <c r="B14" s="2285" t="s">
        <v>1679</v>
      </c>
      <c r="C14" s="2286" t="s">
        <v>2312</v>
      </c>
      <c r="D14" s="2287"/>
      <c r="E14" s="2288"/>
      <c r="F14" s="173"/>
      <c r="G14" s="174"/>
      <c r="H14" s="2289"/>
      <c r="I14" s="2289"/>
      <c r="J14" s="2289"/>
      <c r="K14" s="178">
        <f>SUMIF('数据-汇总表'!C$19:C$33,'数据-取费表'!A14,'数据-汇总表'!E$19:E$33)</f>
        <v>55003.81</v>
      </c>
      <c r="L14" s="3296">
        <f>L6</f>
        <v>4200</v>
      </c>
      <c r="M14" s="176">
        <f t="shared" si="1"/>
        <v>23102</v>
      </c>
      <c r="N14" s="193">
        <v>0</v>
      </c>
      <c r="O14" s="176">
        <f t="shared" si="3"/>
        <v>0</v>
      </c>
      <c r="P14" s="177">
        <f t="shared" si="4"/>
        <v>23102</v>
      </c>
      <c r="Q14" s="2297"/>
      <c r="R14" s="178"/>
      <c r="S14" s="132"/>
      <c r="T14" s="2296"/>
      <c r="U14" s="970"/>
      <c r="V14" s="2299"/>
      <c r="W14" s="2299"/>
      <c r="X14" s="2300"/>
      <c r="Y14" s="2301"/>
      <c r="Z14" s="136"/>
      <c r="AA14" s="2302"/>
      <c r="AB14" s="2302"/>
      <c r="AC14" s="2303"/>
      <c r="AD14" s="2300"/>
      <c r="AE14" s="968"/>
      <c r="AF14" s="2275"/>
      <c r="AG14" s="1205"/>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8.8">
      <c r="A15" s="2291" t="s">
        <v>2314</v>
      </c>
      <c r="B15" s="2285" t="s">
        <v>1679</v>
      </c>
      <c r="C15" s="2286" t="s">
        <v>2313</v>
      </c>
      <c r="D15" s="2287"/>
      <c r="E15" s="2288"/>
      <c r="F15" s="173"/>
      <c r="G15" s="174"/>
      <c r="H15" s="2289"/>
      <c r="I15" s="2289"/>
      <c r="J15" s="2289"/>
      <c r="K15" s="178">
        <f>SUMIF('数据-汇总表'!C$19:C$33,'数据-取费表'!A15,'数据-汇总表'!E$19:E$33)</f>
        <v>0</v>
      </c>
      <c r="L15" s="2295"/>
      <c r="M15" s="176"/>
      <c r="N15" s="2298"/>
      <c r="O15" s="176"/>
      <c r="P15" s="177"/>
      <c r="Q15" s="2297"/>
      <c r="R15" s="178"/>
      <c r="S15" s="132"/>
      <c r="T15" s="2296"/>
      <c r="U15" s="970"/>
      <c r="V15" s="2299"/>
      <c r="W15" s="2299"/>
      <c r="X15" s="2300"/>
      <c r="Y15" s="2301"/>
      <c r="Z15" s="136"/>
      <c r="AA15" s="2302"/>
      <c r="AB15" s="2302"/>
      <c r="AC15" s="2303"/>
      <c r="AD15" s="2300"/>
      <c r="AE15" s="968"/>
      <c r="AF15" s="2275"/>
      <c r="AG15" s="1205"/>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 thickBot="1">
      <c r="A16" s="197" t="s">
        <v>262</v>
      </c>
      <c r="B16" s="198"/>
      <c r="C16" s="199"/>
      <c r="D16" s="200"/>
      <c r="E16" s="198"/>
      <c r="F16" s="198"/>
      <c r="G16" s="201">
        <f>ROUND(SUMPRODUCT(G6:G13,K6:K13)/SUMPRODUCT((G6:G13&gt;0)*(K6:K13)),3)</f>
        <v>0.99299999999999999</v>
      </c>
      <c r="H16" s="202">
        <f>ROUND(SUMPRODUCT(H6:H13,K6:K13)/SUMPRODUCT((H6:H13&gt;0)*(K6:K13)),3)</f>
        <v>0.05</v>
      </c>
      <c r="I16" s="203"/>
      <c r="J16" s="203"/>
      <c r="K16" s="204">
        <f>SUM(K6:K15)</f>
        <v>155053</v>
      </c>
      <c r="L16" s="205">
        <f>ROUND(M16*10000/SUM(K6:K14),0)</f>
        <v>4200</v>
      </c>
      <c r="M16" s="205">
        <f>SUM(M6:M14)</f>
        <v>65123</v>
      </c>
      <c r="N16" s="206">
        <f>ROUND(SUMPRODUCT(M6:M14,N6:N14)/M16,3)</f>
        <v>0</v>
      </c>
      <c r="O16" s="205">
        <f>SUM(O6:O14)</f>
        <v>0</v>
      </c>
      <c r="P16" s="205">
        <f>SUM(P6:P14)</f>
        <v>65123</v>
      </c>
      <c r="Q16" s="207">
        <f>ROUND(SUMPRODUCT(Q6:Q13,K6:K13)/SUMPRODUCT((Q6:Q13&gt;0)*(K6:K13)),2)</f>
        <v>0.12</v>
      </c>
      <c r="R16" s="2290">
        <f>SUM(R6:R13)</f>
        <v>40278.800000000003</v>
      </c>
      <c r="S16" s="208">
        <f>SUM(S6:S13)</f>
        <v>55003.81</v>
      </c>
      <c r="T16" s="209">
        <f>IF(SUMIF(T6:T13,"&lt;9E307")=M14,SUMIF(T6:T13,"&lt;9E307"),"有误，请检查")</f>
        <v>23102</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6">
        <f>ROUND(SUMPRODUCT(AP6:AP13,K6:K13)/SUMPRODUCT((AP6:AP13&gt;0)*(K6:K13)),3)</f>
        <v>0.85199999999999998</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8" thickBot="1">
      <c r="A17" s="1206"/>
      <c r="B17" s="1194"/>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6"/>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4">
      <c r="A19" s="216" t="s">
        <v>264</v>
      </c>
      <c r="B19" s="217">
        <v>0</v>
      </c>
      <c r="C19" s="2322" t="s">
        <v>2334</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4">
      <c r="A20" s="218" t="s">
        <v>265</v>
      </c>
      <c r="B20" s="219">
        <v>2</v>
      </c>
      <c r="C20" s="2322" t="s">
        <v>2333</v>
      </c>
      <c r="D20" s="1972"/>
      <c r="E20" s="1971"/>
      <c r="F20" s="1971"/>
      <c r="G20" s="1971"/>
      <c r="H20" s="1971"/>
      <c r="I20" s="1971"/>
      <c r="J20" s="1971"/>
      <c r="K20" s="1970">
        <f>K15*L14/10000</f>
        <v>0</v>
      </c>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4">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4">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4">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4.4"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8.8">
      <c r="A27" s="225" t="s">
        <v>2336</v>
      </c>
      <c r="B27" s="226">
        <v>190</v>
      </c>
      <c r="C27" s="2325" t="s">
        <v>2340</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8.8">
      <c r="A28" s="227" t="s">
        <v>2337</v>
      </c>
      <c r="B28" s="228">
        <v>190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58.2" thickBot="1">
      <c r="A29" s="230" t="s">
        <v>2335</v>
      </c>
      <c r="B29" s="231"/>
      <c r="C29" s="1533" t="s">
        <v>2338</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8.8">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43.2">
      <c r="A31" s="227" t="s">
        <v>274</v>
      </c>
      <c r="B31" s="229">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43.8" thickBot="1">
      <c r="A32" s="235" t="s">
        <v>275</v>
      </c>
      <c r="B32" s="1368">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28.8">
      <c r="A33" s="225" t="s">
        <v>278</v>
      </c>
      <c r="B33" s="1369">
        <v>0.03</v>
      </c>
      <c r="C33" s="2323" t="s">
        <v>2889</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28.8">
      <c r="A34" s="227" t="s">
        <v>279</v>
      </c>
      <c r="B34" s="232"/>
      <c r="C34" s="2323" t="s">
        <v>2890</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28.8">
      <c r="A35" s="227" t="s">
        <v>276</v>
      </c>
      <c r="B35" s="228">
        <v>200</v>
      </c>
      <c r="C35" s="2323" t="s">
        <v>2891</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29.4" thickBot="1">
      <c r="A36" s="230" t="s">
        <v>277</v>
      </c>
      <c r="B36" s="233">
        <v>1.4999999999999999E-2</v>
      </c>
      <c r="C36" s="2323" t="s">
        <v>2892</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4">
      <c r="A37" s="234" t="s">
        <v>280</v>
      </c>
      <c r="B37" s="3293">
        <v>1.4999999999999999E-2</v>
      </c>
      <c r="C37" s="2323" t="s">
        <v>2893</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4">
      <c r="A38" s="227" t="s">
        <v>281</v>
      </c>
      <c r="B38" s="232">
        <v>0.01</v>
      </c>
      <c r="C38" s="2323" t="s">
        <v>2893</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28.8">
      <c r="A39" s="2447" t="s">
        <v>2453</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2454</v>
      </c>
      <c r="B40" s="2439">
        <f ca="1">存贷款利率!E2</f>
        <v>4.7500000000000001E-2</v>
      </c>
      <c r="C40" s="2323"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28.8">
      <c r="A41" s="225"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4">
      <c r="A42" s="975" t="s">
        <v>283</v>
      </c>
      <c r="B42" s="238">
        <v>0.05</v>
      </c>
      <c r="C42" s="3037">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4">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28.8">
      <c r="A44" s="237" t="s">
        <v>285</v>
      </c>
      <c r="B44" s="240">
        <v>0.05</v>
      </c>
      <c r="C44" s="2323" t="s">
        <v>2894</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4">
      <c r="A45" s="237" t="s">
        <v>286</v>
      </c>
      <c r="B45" s="238">
        <v>0.03</v>
      </c>
      <c r="C45" s="2325" t="s">
        <v>2895</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28.8">
      <c r="A46" s="237" t="s">
        <v>287</v>
      </c>
      <c r="B46" s="238">
        <v>0.02</v>
      </c>
      <c r="C46" s="2325" t="s">
        <v>2896</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2" t="s">
        <v>2897</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4">
      <c r="A48" s="243" t="s">
        <v>289</v>
      </c>
      <c r="B48" s="244">
        <v>0.03</v>
      </c>
      <c r="C48" s="3013" t="s">
        <v>2898</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13" t="s">
        <v>2899</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28.8">
      <c r="A50" s="245" t="s">
        <v>291</v>
      </c>
      <c r="B50" s="246">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29.4" thickBot="1">
      <c r="A51" s="230" t="s">
        <v>292</v>
      </c>
      <c r="B51" s="247">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4">
      <c r="A52" s="245" t="s">
        <v>293</v>
      </c>
      <c r="B52" s="248">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8.8">
      <c r="A53" s="227" t="s">
        <v>294</v>
      </c>
      <c r="B53" s="3211" t="s">
        <v>1409</v>
      </c>
      <c r="C53" s="3014" t="s">
        <v>2900</v>
      </c>
      <c r="D53" s="3015" t="s">
        <v>2901</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4">
      <c r="A54" s="3017" t="s">
        <v>2902</v>
      </c>
      <c r="B54" s="185">
        <v>30</v>
      </c>
      <c r="C54" s="1973">
        <v>30</v>
      </c>
      <c r="D54" s="3016"/>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4">
      <c r="A55" s="3017" t="s">
        <v>2903</v>
      </c>
      <c r="B55" s="185">
        <v>24</v>
      </c>
      <c r="C55" s="1973">
        <v>24</v>
      </c>
      <c r="D55" s="3016"/>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4">
      <c r="A56" s="3017" t="s">
        <v>2904</v>
      </c>
      <c r="B56" s="185">
        <v>18</v>
      </c>
      <c r="C56" s="1973">
        <v>18</v>
      </c>
      <c r="D56" s="3016"/>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4">
      <c r="A57" s="3017" t="s">
        <v>2905</v>
      </c>
      <c r="B57" s="185">
        <v>12</v>
      </c>
      <c r="C57" s="1973">
        <v>12</v>
      </c>
      <c r="D57" s="3016"/>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4">
      <c r="A58" s="3017" t="s">
        <v>2906</v>
      </c>
      <c r="B58" s="3210">
        <v>3</v>
      </c>
      <c r="C58" s="1973">
        <v>3</v>
      </c>
      <c r="D58" s="3016"/>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4">
      <c r="A59" s="3017" t="s">
        <v>2907</v>
      </c>
      <c r="B59" s="185">
        <v>1.5</v>
      </c>
      <c r="C59" s="1973">
        <v>1.5</v>
      </c>
      <c r="D59" s="3016"/>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4">
      <c r="A60" s="3017" t="s">
        <v>2908</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4">
      <c r="A61" s="3017" t="s">
        <v>2909</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4">
      <c r="A62" s="3017" t="s">
        <v>2910</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18" t="s">
        <v>2911</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4" sqref="C4"/>
    </sheetView>
  </sheetViews>
  <sheetFormatPr defaultColWidth="9" defaultRowHeight="14.4"/>
  <cols>
    <col min="1" max="1" width="9.44140625" style="1987" customWidth="1"/>
    <col min="2" max="2" width="24.44140625" style="2002" customWidth="1"/>
    <col min="3" max="3" width="24.44140625" style="2004" customWidth="1"/>
    <col min="4" max="4" width="2.6640625" style="2004" customWidth="1"/>
    <col min="5" max="5" width="5.88671875" style="2004" customWidth="1"/>
    <col min="6" max="6" width="27" style="2002" customWidth="1"/>
    <col min="7" max="7" width="27" style="2003" customWidth="1"/>
    <col min="8" max="8" width="11.88671875" style="2002" customWidth="1"/>
    <col min="9" max="9" width="16.77734375" style="2003" customWidth="1"/>
    <col min="10" max="10" width="2.6640625" style="2004" customWidth="1"/>
    <col min="11" max="11" width="11.88671875" style="2002" customWidth="1"/>
    <col min="12" max="12" width="16.77734375" style="2003" customWidth="1"/>
    <col min="13" max="13" width="2.6640625" style="2004" customWidth="1"/>
    <col min="14" max="14" width="11.88671875" style="2002" customWidth="1"/>
    <col min="15" max="15" width="16.77734375" style="2003" customWidth="1"/>
    <col min="16" max="16" width="2.6640625" style="2004" customWidth="1"/>
    <col min="17" max="17" width="11.88671875" style="2002" customWidth="1"/>
    <col min="18" max="18" width="16.77734375" style="2005" customWidth="1"/>
    <col min="19" max="16384" width="9" style="1987"/>
  </cols>
  <sheetData>
    <row r="1" spans="1:18" s="1986" customFormat="1" ht="18" thickBot="1">
      <c r="A1" s="3476" t="s">
        <v>1663</v>
      </c>
      <c r="B1" s="3477"/>
      <c r="C1" s="3477"/>
      <c r="D1" s="3477"/>
      <c r="E1" s="3477"/>
      <c r="F1" s="3477"/>
      <c r="G1" s="3477"/>
      <c r="H1" s="1981"/>
      <c r="I1" s="1982"/>
      <c r="J1" s="1983"/>
      <c r="K1" s="1981"/>
      <c r="L1" s="1982"/>
      <c r="M1" s="1983"/>
      <c r="N1" s="1981"/>
      <c r="O1" s="1982"/>
      <c r="P1" s="1983"/>
      <c r="Q1" s="1984"/>
      <c r="R1" s="1985"/>
    </row>
    <row r="2" spans="1:18" ht="15" thickBot="1">
      <c r="A2" s="1213"/>
      <c r="B2" s="1214"/>
      <c r="C2" s="1215" t="s">
        <v>1664</v>
      </c>
      <c r="D2" s="1216"/>
      <c r="E2" s="1217"/>
      <c r="F2" s="1218"/>
      <c r="G2" s="1215" t="s">
        <v>1665</v>
      </c>
      <c r="H2" s="1987"/>
      <c r="I2" s="1987"/>
      <c r="J2" s="1987"/>
      <c r="K2" s="1987"/>
      <c r="L2" s="1987"/>
      <c r="M2" s="1987"/>
      <c r="N2" s="1987"/>
      <c r="O2" s="1987"/>
      <c r="P2" s="1987"/>
      <c r="Q2" s="1987"/>
      <c r="R2" s="1987"/>
    </row>
    <row r="3" spans="1:18" ht="43.2">
      <c r="A3" s="1219" t="s">
        <v>1666</v>
      </c>
      <c r="B3" s="1220" t="s">
        <v>1653</v>
      </c>
      <c r="C3" s="3192"/>
      <c r="D3" s="1988"/>
      <c r="E3" s="1221" t="s">
        <v>1666</v>
      </c>
      <c r="F3" s="1222" t="s">
        <v>1654</v>
      </c>
      <c r="G3" s="3022" t="s">
        <v>2916</v>
      </c>
      <c r="H3" s="1987"/>
      <c r="I3" s="1987"/>
      <c r="J3" s="1987"/>
      <c r="K3" s="1987"/>
      <c r="L3" s="1987"/>
      <c r="M3" s="1987"/>
      <c r="N3" s="1987"/>
      <c r="O3" s="1987"/>
      <c r="P3" s="1987"/>
      <c r="Q3" s="1987"/>
      <c r="R3" s="1987"/>
    </row>
    <row r="4" spans="1:18" ht="58.8">
      <c r="A4" s="1221"/>
      <c r="B4" s="1223" t="s">
        <v>1667</v>
      </c>
      <c r="C4" s="3227" t="s">
        <v>3281</v>
      </c>
      <c r="D4" s="1988"/>
      <c r="E4" s="1224"/>
      <c r="F4" s="1225" t="s">
        <v>1668</v>
      </c>
      <c r="G4" s="3020" t="s">
        <v>2913</v>
      </c>
      <c r="H4" s="1987"/>
      <c r="I4" s="1987"/>
      <c r="J4" s="1987"/>
      <c r="K4" s="1987"/>
      <c r="L4" s="1987"/>
      <c r="M4" s="1987"/>
      <c r="N4" s="1987"/>
      <c r="O4" s="1987"/>
      <c r="P4" s="1987"/>
      <c r="Q4" s="1987"/>
      <c r="R4" s="1987"/>
    </row>
    <row r="5" spans="1:18" ht="28.8">
      <c r="A5" s="1221"/>
      <c r="B5" s="1223" t="s">
        <v>1669</v>
      </c>
      <c r="C5" s="3019"/>
      <c r="D5" s="1988"/>
      <c r="E5" s="1224"/>
      <c r="F5" s="1223" t="s">
        <v>2543</v>
      </c>
      <c r="G5" s="3020" t="s">
        <v>2914</v>
      </c>
      <c r="H5" s="1987"/>
      <c r="I5" s="1987"/>
      <c r="J5" s="1987"/>
      <c r="K5" s="1987"/>
      <c r="L5" s="1987"/>
      <c r="M5" s="1987"/>
      <c r="N5" s="1987"/>
      <c r="O5" s="1987"/>
      <c r="P5" s="1987"/>
      <c r="Q5" s="1987"/>
      <c r="R5" s="1987"/>
    </row>
    <row r="6" spans="1:18" ht="75" customHeight="1">
      <c r="A6" s="1221"/>
      <c r="B6" s="1223" t="s">
        <v>1655</v>
      </c>
      <c r="C6" s="3193" t="s">
        <v>3301</v>
      </c>
      <c r="D6" s="1988"/>
      <c r="E6" s="1224"/>
      <c r="F6" s="1223" t="s">
        <v>2544</v>
      </c>
      <c r="G6" s="3020" t="s">
        <v>2912</v>
      </c>
      <c r="H6" s="1987"/>
      <c r="I6" s="1987"/>
      <c r="J6" s="1987"/>
      <c r="K6" s="1987"/>
      <c r="L6" s="1987"/>
      <c r="M6" s="1987"/>
      <c r="N6" s="1987"/>
      <c r="O6" s="1987"/>
      <c r="P6" s="1987"/>
      <c r="Q6" s="1987"/>
      <c r="R6" s="1987"/>
    </row>
    <row r="7" spans="1:18" ht="43.8" thickBot="1">
      <c r="A7" s="1221"/>
      <c r="B7" s="1223" t="s">
        <v>2543</v>
      </c>
      <c r="C7" s="3286" t="s">
        <v>3282</v>
      </c>
      <c r="D7" s="1989"/>
      <c r="E7" s="1226"/>
      <c r="F7" s="1227" t="s">
        <v>1670</v>
      </c>
      <c r="G7" s="3023" t="s">
        <v>2915</v>
      </c>
      <c r="H7" s="1987"/>
      <c r="I7" s="1987"/>
      <c r="J7" s="1987"/>
      <c r="K7" s="1987"/>
      <c r="L7" s="1987"/>
      <c r="M7" s="1987"/>
      <c r="N7" s="1987"/>
      <c r="O7" s="1987"/>
      <c r="P7" s="1987"/>
      <c r="Q7" s="1987"/>
      <c r="R7" s="1987"/>
    </row>
    <row r="8" spans="1:18" ht="28.8">
      <c r="A8" s="1221"/>
      <c r="B8" s="1223" t="s">
        <v>2544</v>
      </c>
      <c r="C8" s="3020" t="s">
        <v>2912</v>
      </c>
      <c r="D8" s="1989"/>
      <c r="E8" s="1989"/>
      <c r="F8" s="1534"/>
      <c r="G8" s="1534"/>
      <c r="H8" s="1987"/>
      <c r="I8" s="1987"/>
      <c r="J8" s="1987"/>
      <c r="K8" s="1987"/>
      <c r="L8" s="1987"/>
      <c r="M8" s="1987"/>
      <c r="N8" s="1987"/>
      <c r="O8" s="1987"/>
      <c r="P8" s="1987"/>
      <c r="Q8" s="1987"/>
      <c r="R8" s="1987"/>
    </row>
    <row r="9" spans="1:18" ht="57.6">
      <c r="A9" s="1221"/>
      <c r="B9" s="1223" t="s">
        <v>1656</v>
      </c>
      <c r="C9" s="3287" t="s">
        <v>3302</v>
      </c>
      <c r="D9" s="1988"/>
      <c r="E9" s="1989"/>
      <c r="F9" s="1534"/>
      <c r="G9" s="1534"/>
      <c r="H9" s="1987"/>
      <c r="I9" s="1987"/>
      <c r="J9" s="1987"/>
      <c r="K9" s="1987"/>
      <c r="L9" s="1987"/>
      <c r="M9" s="1987"/>
      <c r="N9" s="1987"/>
      <c r="O9" s="1987"/>
      <c r="P9" s="1987"/>
      <c r="Q9" s="1987"/>
      <c r="R9" s="1987"/>
    </row>
    <row r="10" spans="1:18" s="1995" customFormat="1" ht="15" thickBot="1">
      <c r="A10" s="1228"/>
      <c r="B10" s="1229" t="s">
        <v>1671</v>
      </c>
      <c r="C10" s="3021" t="s">
        <v>3283</v>
      </c>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7.399999999999999">
      <c r="A12" s="1990"/>
      <c r="B12" s="1989"/>
      <c r="C12" s="1988"/>
      <c r="D12" s="2536"/>
      <c r="E12" s="1988"/>
      <c r="F12" s="1989"/>
      <c r="G12" s="1991"/>
      <c r="H12" s="1996"/>
      <c r="I12" s="1997"/>
      <c r="J12" s="1996"/>
      <c r="K12" s="1996"/>
      <c r="L12" s="1998"/>
      <c r="M12" s="1996"/>
      <c r="N12" s="1999"/>
      <c r="O12" s="2000"/>
      <c r="P12" s="2001"/>
      <c r="Q12" s="1999"/>
      <c r="R12" s="1985"/>
    </row>
    <row r="13" spans="1:18" ht="18" thickBot="1">
      <c r="A13" s="2535" t="s">
        <v>1672</v>
      </c>
      <c r="B13" s="2536"/>
      <c r="C13" s="2536"/>
      <c r="D13" s="1216"/>
      <c r="E13" s="2536"/>
      <c r="F13" s="2536"/>
      <c r="G13" s="2536"/>
    </row>
    <row r="14" spans="1:18" ht="15" thickBot="1">
      <c r="A14" s="1230"/>
      <c r="B14" s="1231"/>
      <c r="C14" s="1232" t="s">
        <v>1664</v>
      </c>
      <c r="D14" s="1988"/>
      <c r="E14" s="1233"/>
      <c r="F14" s="1233"/>
      <c r="G14" s="1215" t="s">
        <v>1665</v>
      </c>
    </row>
    <row r="15" spans="1:18" ht="43.2">
      <c r="A15" s="2546" t="s">
        <v>1657</v>
      </c>
      <c r="B15" s="1234" t="s">
        <v>1653</v>
      </c>
      <c r="C15" s="1235">
        <f>C3</f>
        <v>0</v>
      </c>
      <c r="D15" s="1988"/>
      <c r="E15" s="2543" t="s">
        <v>1658</v>
      </c>
      <c r="F15" s="1234" t="s">
        <v>1673</v>
      </c>
      <c r="G15" s="1236" t="str">
        <f>G3</f>
        <v>估价对象位于XX开发区，园区建设成熟度XX，产业集聚程度XX</v>
      </c>
    </row>
    <row r="16" spans="1:18" ht="57.6">
      <c r="A16" s="2547"/>
      <c r="B16" s="1237" t="s">
        <v>1667</v>
      </c>
      <c r="C16" s="1238" t="str">
        <f>C4</f>
        <v>估价对象周边商业氛围成熟度较差，2公里内以住宅底商为主，人流量一般，商业繁华度较差</v>
      </c>
      <c r="D16" s="1988"/>
      <c r="E16" s="2544"/>
      <c r="F16" s="1239" t="s">
        <v>1668</v>
      </c>
      <c r="G16" s="1001" t="str">
        <f>G4</f>
        <v>估价对象周边道路状况、公共交通通达情况、停车便捷程度，综合评价交通便捷度较好</v>
      </c>
    </row>
    <row r="17" spans="1:7">
      <c r="A17" s="2547"/>
      <c r="B17" s="1237" t="s">
        <v>1669</v>
      </c>
      <c r="C17" s="1238">
        <f>C5</f>
        <v>0</v>
      </c>
      <c r="D17" s="1989"/>
      <c r="E17" s="2544"/>
      <c r="F17" s="1239" t="s">
        <v>1674</v>
      </c>
      <c r="G17" s="2744"/>
    </row>
    <row r="18" spans="1:7" ht="72">
      <c r="A18" s="2547"/>
      <c r="B18" s="1239" t="s">
        <v>1655</v>
      </c>
      <c r="C18" s="1001" t="str">
        <f>C6</f>
        <v>估价对象周边道路状况一般、公共交通通达情况较差，有578、兴31、兴59路、停车便捷程度较好，综合评价交通便捷度较差</v>
      </c>
      <c r="D18" s="1989"/>
      <c r="E18" s="2544"/>
      <c r="F18" s="1239" t="s">
        <v>1670</v>
      </c>
      <c r="G18" s="1001" t="str">
        <f>G7</f>
        <v>该园区内是否有污染型企业，绿化情况，卫生条件，整体环境状况判断</v>
      </c>
    </row>
    <row r="19" spans="1:7" ht="28.8">
      <c r="A19" s="2547"/>
      <c r="B19" s="1239" t="s">
        <v>1659</v>
      </c>
      <c r="C19" s="2744"/>
      <c r="D19" s="1988"/>
      <c r="E19" s="2544"/>
      <c r="F19" s="1223" t="s">
        <v>2543</v>
      </c>
      <c r="G19" s="1001" t="str">
        <f>G5</f>
        <v>估价对象所在区域公共配套设施齐备情况</v>
      </c>
    </row>
    <row r="20" spans="1:7" ht="57.6">
      <c r="A20" s="2547"/>
      <c r="B20" s="1239" t="s">
        <v>1660</v>
      </c>
      <c r="C20" s="1238" t="str">
        <f>C9</f>
        <v>区域自然环境：体育公园、金茂悦健身公园；人文环境；综合评价环境状况一般</v>
      </c>
      <c r="D20" s="1989"/>
      <c r="E20" s="2544"/>
      <c r="F20" s="1223" t="s">
        <v>2544</v>
      </c>
      <c r="G20" s="1001" t="str">
        <f>G6</f>
        <v>估价对象所在区域基础设施水平</v>
      </c>
    </row>
    <row r="21" spans="1:7" ht="28.8">
      <c r="A21" s="2547"/>
      <c r="B21" s="1223" t="s">
        <v>2543</v>
      </c>
      <c r="C21" s="1001" t="str">
        <f>C7</f>
        <v>估价对象所在区域公共配套设施齐备情况一般</v>
      </c>
      <c r="D21" s="1988"/>
      <c r="E21" s="2544"/>
      <c r="F21" s="1239" t="s">
        <v>1661</v>
      </c>
      <c r="G21" s="3024"/>
    </row>
    <row r="22" spans="1:7" ht="28.8">
      <c r="A22" s="2547"/>
      <c r="B22" s="1223" t="s">
        <v>2544</v>
      </c>
      <c r="C22" s="1001" t="str">
        <f>C8</f>
        <v>估价对象所在区域基础设施水平</v>
      </c>
      <c r="D22" s="1988"/>
      <c r="E22" s="2544"/>
      <c r="F22" s="1239" t="s">
        <v>1671</v>
      </c>
      <c r="G22" s="2744"/>
    </row>
    <row r="23" spans="1:7" ht="15" thickBot="1">
      <c r="A23" s="2547"/>
      <c r="B23" s="1239" t="s">
        <v>1661</v>
      </c>
      <c r="C23" s="3024"/>
      <c r="E23" s="2545"/>
      <c r="F23" s="1240" t="s">
        <v>1675</v>
      </c>
      <c r="G23" s="3025"/>
    </row>
    <row r="24" spans="1:7" ht="15" thickBot="1">
      <c r="A24" s="2548"/>
      <c r="B24" s="1240" t="s">
        <v>1662</v>
      </c>
      <c r="C24" s="1241" t="str">
        <f>C10</f>
        <v>次干道-兴海路</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B15" sqref="B15:D16"/>
    </sheetView>
  </sheetViews>
  <sheetFormatPr defaultColWidth="14.6640625" defaultRowHeight="14.4"/>
  <cols>
    <col min="1" max="1" width="24.33203125" customWidth="1"/>
  </cols>
  <sheetData>
    <row r="1" spans="1:9" ht="15.6">
      <c r="A1" s="2983" t="s">
        <v>2840</v>
      </c>
      <c r="B1" s="2983">
        <f>SUM(B14:B23)</f>
        <v>155053</v>
      </c>
      <c r="C1" s="2984"/>
      <c r="D1" s="2984"/>
      <c r="E1" s="2984"/>
      <c r="F1" s="2984"/>
    </row>
    <row r="2" spans="1:9" ht="15.6">
      <c r="A2" s="2983" t="s">
        <v>2841</v>
      </c>
      <c r="B2" s="2983">
        <f>SUM(C14:C23)</f>
        <v>40278.800000000003</v>
      </c>
      <c r="C2" s="2984"/>
      <c r="D2" s="2984"/>
      <c r="E2" s="2984"/>
      <c r="F2" s="2984"/>
    </row>
    <row r="3" spans="1:9" ht="15.6">
      <c r="A3" s="2983" t="s">
        <v>2842</v>
      </c>
      <c r="B3" s="2985">
        <f>项目基本情况!D3</f>
        <v>44027</v>
      </c>
      <c r="C3" s="2984"/>
      <c r="D3" s="2984"/>
      <c r="E3" s="2984"/>
      <c r="F3" s="2984"/>
    </row>
    <row r="4" spans="1:9" ht="31.2">
      <c r="A4" s="2983" t="s">
        <v>2843</v>
      </c>
      <c r="B4" s="2983" t="s">
        <v>2844</v>
      </c>
      <c r="C4" s="2983" t="s">
        <v>2845</v>
      </c>
      <c r="D4" s="2983" t="s">
        <v>2846</v>
      </c>
      <c r="E4" s="2984"/>
      <c r="F4" s="2984"/>
    </row>
    <row r="5" spans="1:9" ht="15.6">
      <c r="A5" s="2983" t="s">
        <v>2847</v>
      </c>
      <c r="B5" s="2983">
        <f ca="1">SUM(D14:D23)</f>
        <v>106875</v>
      </c>
      <c r="C5" s="2983">
        <f ca="1">ROUND(B5*10000/$B$1,0)</f>
        <v>6893</v>
      </c>
      <c r="D5" s="2983">
        <f ca="1">ROUND(B5*10000/$B$2,0)</f>
        <v>26534</v>
      </c>
      <c r="E5" s="2984"/>
      <c r="F5" s="2984"/>
    </row>
    <row r="6" spans="1:9" ht="15.6">
      <c r="A6" s="2983" t="s">
        <v>2848</v>
      </c>
      <c r="B6" s="2983">
        <f ca="1">SUM(G14:G23)</f>
        <v>100855</v>
      </c>
      <c r="C6" s="2983">
        <f ca="1">ROUND(B6*10000/$B$1,0)</f>
        <v>6505</v>
      </c>
      <c r="D6" s="2983">
        <f ca="1">ROUND(B6*10000/$B$2,0)</f>
        <v>25039</v>
      </c>
      <c r="E6" s="2984"/>
      <c r="F6" s="2984"/>
    </row>
    <row r="7" spans="1:9" ht="15.6">
      <c r="A7" s="2983" t="s">
        <v>2849</v>
      </c>
      <c r="B7" s="2983">
        <f>SUM(H14:H23)</f>
        <v>0</v>
      </c>
      <c r="C7" s="2983">
        <f>ROUND(B7*10000/$B$1,0)</f>
        <v>0</v>
      </c>
      <c r="D7" s="2983">
        <f>ROUND(B7*10000/$B$2,0)</f>
        <v>0</v>
      </c>
      <c r="E7" s="2984"/>
      <c r="F7" s="2984"/>
    </row>
    <row r="8" spans="1:9" ht="15.6">
      <c r="A8" s="2983" t="s">
        <v>2850</v>
      </c>
      <c r="B8" s="2983">
        <f>SUM(I14:I23)</f>
        <v>0</v>
      </c>
      <c r="C8" s="2983">
        <f>ROUND(B8*10000/$B$1,0)</f>
        <v>0</v>
      </c>
      <c r="D8" s="2983">
        <f>ROUND(B8*10000/$B$2,0)</f>
        <v>0</v>
      </c>
      <c r="E8" s="2984"/>
      <c r="F8" s="2984"/>
    </row>
    <row r="9" spans="1:9" ht="15.6">
      <c r="A9" s="2983" t="s">
        <v>2851</v>
      </c>
      <c r="B9" s="2986"/>
      <c r="C9" s="2984"/>
      <c r="D9" s="2984"/>
      <c r="E9" s="2984"/>
      <c r="F9" s="2984"/>
    </row>
    <row r="10" spans="1:9" ht="15.6">
      <c r="A10" s="2983" t="s">
        <v>2852</v>
      </c>
      <c r="B10" s="2986"/>
      <c r="C10" s="2984"/>
      <c r="D10" s="2984"/>
      <c r="E10" s="2984"/>
      <c r="F10" s="2984"/>
    </row>
    <row r="11" spans="1:9" ht="15.6">
      <c r="A11" s="2983" t="s">
        <v>2869</v>
      </c>
      <c r="B11" s="2986"/>
      <c r="C11" s="2984"/>
      <c r="D11" s="2984"/>
      <c r="E11" s="2984"/>
      <c r="F11" s="2984"/>
    </row>
    <row r="12" spans="1:9" ht="15.6">
      <c r="A12" s="2984"/>
      <c r="B12" s="2984"/>
      <c r="C12" s="2984"/>
      <c r="D12" s="2984"/>
      <c r="E12" s="2984"/>
      <c r="F12" s="2984"/>
    </row>
    <row r="13" spans="1:9" ht="31.2">
      <c r="A13" s="2989" t="s">
        <v>2868</v>
      </c>
      <c r="B13" s="2987" t="s">
        <v>2840</v>
      </c>
      <c r="C13" s="2987" t="s">
        <v>2841</v>
      </c>
      <c r="D13" s="2987" t="s">
        <v>2853</v>
      </c>
      <c r="E13" s="2983" t="s">
        <v>2867</v>
      </c>
      <c r="F13" s="2983" t="s">
        <v>2846</v>
      </c>
      <c r="G13" s="2987" t="s">
        <v>2854</v>
      </c>
      <c r="H13" s="2987" t="s">
        <v>2855</v>
      </c>
      <c r="I13" s="2987" t="s">
        <v>2856</v>
      </c>
    </row>
    <row r="14" spans="1:9" ht="15.6">
      <c r="A14" s="2990" t="s">
        <v>2866</v>
      </c>
      <c r="B14" s="2987">
        <f>结果表!L38</f>
        <v>155053</v>
      </c>
      <c r="C14" s="2987">
        <f>结果表!K38</f>
        <v>40278.800000000003</v>
      </c>
      <c r="D14" s="2987">
        <f ca="1">结果表!C42</f>
        <v>106875</v>
      </c>
      <c r="E14" s="2987">
        <f ca="1">ROUND(D14*10000/B14,0)</f>
        <v>6893</v>
      </c>
      <c r="F14" s="2987">
        <f ca="1">ROUND(D14*10000/C14,0)</f>
        <v>26534</v>
      </c>
      <c r="G14" s="2987">
        <f ca="1">结果表!C44</f>
        <v>100855</v>
      </c>
      <c r="H14" s="2987" t="str">
        <f>结果表!C45</f>
        <v>——</v>
      </c>
      <c r="I14" s="2987" t="str">
        <f>结果表!C46</f>
        <v>——</v>
      </c>
    </row>
    <row r="15" spans="1:9" ht="15.6">
      <c r="A15" s="2990" t="s">
        <v>2857</v>
      </c>
      <c r="B15" s="2991"/>
      <c r="C15" s="2991"/>
      <c r="D15" s="2991"/>
      <c r="E15" s="2987" t="e">
        <f t="shared" ref="E15:E23" si="0">ROUND(D15*10000/B15,0)</f>
        <v>#DIV/0!</v>
      </c>
      <c r="F15" s="2987" t="e">
        <f t="shared" ref="F15:F23" si="1">ROUND(D15*10000/C15,0)</f>
        <v>#DIV/0!</v>
      </c>
      <c r="G15" s="2988"/>
      <c r="H15" s="2988"/>
      <c r="I15" s="2991"/>
    </row>
    <row r="16" spans="1:9" ht="15.6">
      <c r="A16" s="2990" t="s">
        <v>2858</v>
      </c>
      <c r="B16" s="2991"/>
      <c r="C16" s="2991"/>
      <c r="D16" s="2991"/>
      <c r="E16" s="2987" t="e">
        <f t="shared" si="0"/>
        <v>#DIV/0!</v>
      </c>
      <c r="F16" s="2987" t="e">
        <f t="shared" si="1"/>
        <v>#DIV/0!</v>
      </c>
      <c r="G16" s="2988"/>
      <c r="H16" s="2988"/>
      <c r="I16" s="2991"/>
    </row>
    <row r="17" spans="1:9" ht="15.6">
      <c r="A17" s="2990" t="s">
        <v>2859</v>
      </c>
      <c r="B17" s="2991"/>
      <c r="C17" s="2991"/>
      <c r="D17" s="2991"/>
      <c r="E17" s="2987" t="e">
        <f t="shared" si="0"/>
        <v>#DIV/0!</v>
      </c>
      <c r="F17" s="2987" t="e">
        <f t="shared" si="1"/>
        <v>#DIV/0!</v>
      </c>
      <c r="G17" s="2988"/>
      <c r="H17" s="2988"/>
      <c r="I17" s="2991"/>
    </row>
    <row r="18" spans="1:9" ht="15.6">
      <c r="A18" s="2990" t="s">
        <v>2860</v>
      </c>
      <c r="B18" s="2991"/>
      <c r="C18" s="2991"/>
      <c r="D18" s="2991"/>
      <c r="E18" s="2987" t="e">
        <f t="shared" si="0"/>
        <v>#DIV/0!</v>
      </c>
      <c r="F18" s="2987" t="e">
        <f t="shared" si="1"/>
        <v>#DIV/0!</v>
      </c>
      <c r="G18" s="2991"/>
      <c r="H18" s="2991"/>
      <c r="I18" s="2991"/>
    </row>
    <row r="19" spans="1:9" ht="15.6">
      <c r="A19" s="2990" t="s">
        <v>2861</v>
      </c>
      <c r="B19" s="2991"/>
      <c r="C19" s="2991"/>
      <c r="D19" s="2991"/>
      <c r="E19" s="2987" t="e">
        <f t="shared" si="0"/>
        <v>#DIV/0!</v>
      </c>
      <c r="F19" s="2987" t="e">
        <f t="shared" si="1"/>
        <v>#DIV/0!</v>
      </c>
      <c r="G19" s="2991"/>
      <c r="H19" s="2991"/>
      <c r="I19" s="2991"/>
    </row>
    <row r="20" spans="1:9" ht="15.6">
      <c r="A20" s="2990" t="s">
        <v>2862</v>
      </c>
      <c r="B20" s="2991"/>
      <c r="C20" s="2991"/>
      <c r="D20" s="2991"/>
      <c r="E20" s="2987" t="e">
        <f t="shared" si="0"/>
        <v>#DIV/0!</v>
      </c>
      <c r="F20" s="2987" t="e">
        <f t="shared" si="1"/>
        <v>#DIV/0!</v>
      </c>
      <c r="G20" s="2991"/>
      <c r="H20" s="2991"/>
      <c r="I20" s="2991"/>
    </row>
    <row r="21" spans="1:9" ht="15.6">
      <c r="A21" s="2990" t="s">
        <v>2863</v>
      </c>
      <c r="B21" s="2991"/>
      <c r="C21" s="2991"/>
      <c r="D21" s="2991"/>
      <c r="E21" s="2987" t="e">
        <f t="shared" si="0"/>
        <v>#DIV/0!</v>
      </c>
      <c r="F21" s="2987" t="e">
        <f t="shared" si="1"/>
        <v>#DIV/0!</v>
      </c>
      <c r="G21" s="2991"/>
      <c r="H21" s="2991"/>
      <c r="I21" s="2991"/>
    </row>
    <row r="22" spans="1:9" ht="15.6">
      <c r="A22" s="2990" t="s">
        <v>2864</v>
      </c>
      <c r="B22" s="2991"/>
      <c r="C22" s="2991"/>
      <c r="D22" s="2991"/>
      <c r="E22" s="2987" t="e">
        <f t="shared" si="0"/>
        <v>#DIV/0!</v>
      </c>
      <c r="F22" s="2987" t="e">
        <f t="shared" si="1"/>
        <v>#DIV/0!</v>
      </c>
      <c r="G22" s="2991"/>
      <c r="H22" s="2991"/>
      <c r="I22" s="2991"/>
    </row>
    <row r="23" spans="1:9" ht="15.6">
      <c r="A23" s="2990" t="s">
        <v>2865</v>
      </c>
      <c r="B23" s="2991"/>
      <c r="C23" s="2991"/>
      <c r="D23" s="2991"/>
      <c r="E23" s="2983" t="e">
        <f t="shared" si="0"/>
        <v>#DIV/0!</v>
      </c>
      <c r="F23" s="2983" t="e">
        <f t="shared" si="1"/>
        <v>#DIV/0!</v>
      </c>
      <c r="G23" s="2991"/>
      <c r="H23" s="2991"/>
      <c r="I23" s="299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K22" zoomScaleNormal="100" zoomScaleSheetLayoutView="100" zoomScalePageLayoutView="80" workbookViewId="0">
      <selection activeCell="E14" sqref="E14"/>
    </sheetView>
  </sheetViews>
  <sheetFormatPr defaultColWidth="12.6640625" defaultRowHeight="21.75" customHeight="1"/>
  <cols>
    <col min="1" max="2" width="12.77734375" style="1242" bestFit="1" customWidth="1"/>
    <col min="3" max="4" width="12.6640625" style="1242" customWidth="1"/>
    <col min="5" max="9" width="12.77734375" style="1242"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2"/>
  </cols>
  <sheetData>
    <row r="1" spans="1:22" ht="21.75" customHeight="1" thickBot="1">
      <c r="A1" s="1755" t="s">
        <v>2053</v>
      </c>
      <c r="B1" s="1756"/>
      <c r="C1" s="1784" t="s">
        <v>2054</v>
      </c>
      <c r="D1" s="1785"/>
      <c r="E1" s="1784" t="s">
        <v>2055</v>
      </c>
      <c r="F1" s="1786"/>
      <c r="G1" s="308"/>
      <c r="H1" s="308"/>
      <c r="I1" s="308"/>
      <c r="J1" s="2008"/>
      <c r="K1" s="2008"/>
      <c r="L1" s="2008"/>
      <c r="M1" s="2008"/>
      <c r="N1" s="2008"/>
      <c r="O1" s="2008"/>
      <c r="P1" s="2008"/>
      <c r="Q1" s="2008"/>
      <c r="R1" s="2008"/>
      <c r="S1" s="2008"/>
      <c r="T1" s="2008"/>
      <c r="U1" s="2008"/>
      <c r="V1" s="2008"/>
    </row>
    <row r="2" spans="1:22" ht="21.75" customHeight="1" thickBot="1">
      <c r="A2" s="3518" t="str">
        <f>项目基本情况!K2</f>
        <v>北京市经济技术开发区河西区X78C2地块B4综合性商业金融服务业用地出让国有建设用地使用权</v>
      </c>
      <c r="B2" s="3519"/>
      <c r="C2" s="3520"/>
      <c r="D2" s="3520"/>
      <c r="E2" s="3520"/>
      <c r="F2" s="3520"/>
      <c r="G2" s="3519"/>
      <c r="H2" s="3519"/>
      <c r="I2" s="3521"/>
      <c r="J2" s="2009"/>
      <c r="K2" s="2008"/>
      <c r="L2" s="2008"/>
      <c r="M2" s="2008"/>
      <c r="N2" s="2008"/>
      <c r="O2" s="2008"/>
      <c r="P2" s="2008"/>
      <c r="Q2" s="2008"/>
      <c r="R2" s="2008"/>
      <c r="S2" s="2008"/>
      <c r="T2" s="2008"/>
      <c r="U2" s="2008"/>
      <c r="V2" s="2008"/>
    </row>
    <row r="3" spans="1:22" ht="13.8">
      <c r="A3" s="3510" t="s">
        <v>298</v>
      </c>
      <c r="B3" s="3511"/>
      <c r="C3" s="3511"/>
      <c r="D3" s="3511"/>
      <c r="E3" s="3511"/>
      <c r="F3" s="3511"/>
      <c r="G3" s="3511"/>
      <c r="H3" s="3511"/>
      <c r="I3" s="3511"/>
      <c r="J3" s="2009"/>
      <c r="K3" s="2008"/>
      <c r="L3" s="2008"/>
      <c r="M3" s="2008"/>
      <c r="N3" s="2008"/>
      <c r="O3" s="2008"/>
      <c r="P3" s="2008"/>
      <c r="Q3" s="2008"/>
      <c r="R3" s="2008"/>
      <c r="S3" s="2008"/>
      <c r="T3" s="2008"/>
      <c r="U3" s="2008"/>
      <c r="V3" s="2008"/>
    </row>
    <row r="4" spans="1:22" ht="14.4">
      <c r="A4" s="255" t="s">
        <v>299</v>
      </c>
      <c r="B4" s="256" t="s">
        <v>300</v>
      </c>
      <c r="C4" s="257" t="s">
        <v>3046</v>
      </c>
      <c r="D4" s="257" t="s">
        <v>3047</v>
      </c>
      <c r="E4" s="3479" t="s">
        <v>301</v>
      </c>
      <c r="F4" s="3480"/>
      <c r="G4" s="3480"/>
      <c r="H4" s="3480"/>
      <c r="I4" s="3513"/>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3.8">
      <c r="A5" s="3478" t="s">
        <v>302</v>
      </c>
      <c r="B5" s="3504">
        <v>25</v>
      </c>
      <c r="C5" s="3502">
        <v>20</v>
      </c>
      <c r="D5" s="3509">
        <v>24</v>
      </c>
      <c r="E5" s="258" t="s">
        <v>303</v>
      </c>
      <c r="F5" s="259"/>
      <c r="G5" s="259"/>
      <c r="H5" s="259"/>
      <c r="I5" s="260"/>
      <c r="J5" s="2009"/>
      <c r="K5" s="2008"/>
      <c r="L5" s="2008"/>
      <c r="M5" s="2008"/>
      <c r="N5" s="2008"/>
      <c r="O5" s="2008"/>
      <c r="P5" s="2008"/>
      <c r="Q5" s="2008"/>
      <c r="R5" s="2008"/>
      <c r="S5" s="2008"/>
      <c r="T5" s="2008"/>
      <c r="U5" s="2008"/>
      <c r="V5" s="2008"/>
    </row>
    <row r="6" spans="1:22" ht="13.8">
      <c r="A6" s="3478"/>
      <c r="B6" s="3504"/>
      <c r="C6" s="3512"/>
      <c r="D6" s="3509"/>
      <c r="E6" s="258" t="s">
        <v>304</v>
      </c>
      <c r="F6" s="259"/>
      <c r="G6" s="259"/>
      <c r="H6" s="259"/>
      <c r="I6" s="260"/>
      <c r="J6" s="2009"/>
      <c r="K6" s="2008"/>
      <c r="L6" s="2008"/>
      <c r="M6" s="2008"/>
      <c r="N6" s="2008"/>
      <c r="O6" s="2008"/>
      <c r="P6" s="2008"/>
      <c r="Q6" s="2008"/>
      <c r="R6" s="2008"/>
      <c r="S6" s="2008"/>
      <c r="T6" s="2008"/>
      <c r="U6" s="2008"/>
      <c r="V6" s="2008"/>
    </row>
    <row r="7" spans="1:22" ht="13.8">
      <c r="A7" s="3478"/>
      <c r="B7" s="3504"/>
      <c r="C7" s="3503"/>
      <c r="D7" s="3509"/>
      <c r="E7" s="258" t="s">
        <v>305</v>
      </c>
      <c r="F7" s="259"/>
      <c r="G7" s="259"/>
      <c r="H7" s="259"/>
      <c r="I7" s="260"/>
      <c r="J7" s="2009"/>
      <c r="K7" s="2008"/>
      <c r="L7" s="2008"/>
      <c r="M7" s="2008"/>
      <c r="N7" s="2008"/>
      <c r="O7" s="2008"/>
      <c r="P7" s="2008"/>
      <c r="Q7" s="2008"/>
      <c r="R7" s="2008"/>
      <c r="S7" s="2008"/>
      <c r="T7" s="2008"/>
      <c r="U7" s="2008"/>
      <c r="V7" s="2008"/>
    </row>
    <row r="8" spans="1:22" ht="13.8">
      <c r="A8" s="3478" t="s">
        <v>306</v>
      </c>
      <c r="B8" s="3504">
        <v>15</v>
      </c>
      <c r="C8" s="3502">
        <v>10</v>
      </c>
      <c r="D8" s="3509">
        <v>12</v>
      </c>
      <c r="E8" s="258" t="s">
        <v>307</v>
      </c>
      <c r="F8" s="259"/>
      <c r="G8" s="259"/>
      <c r="H8" s="259"/>
      <c r="I8" s="260"/>
      <c r="J8" s="2009"/>
      <c r="K8" s="2008"/>
      <c r="L8" s="2008"/>
      <c r="M8" s="2008"/>
      <c r="N8" s="2008"/>
      <c r="O8" s="2008"/>
      <c r="P8" s="2008"/>
      <c r="Q8" s="2008"/>
      <c r="R8" s="2008"/>
      <c r="S8" s="2008"/>
      <c r="T8" s="2008"/>
      <c r="U8" s="2008"/>
      <c r="V8" s="2008"/>
    </row>
    <row r="9" spans="1:22" ht="13.8">
      <c r="A9" s="3478"/>
      <c r="B9" s="3504"/>
      <c r="C9" s="3503"/>
      <c r="D9" s="3509"/>
      <c r="E9" s="258" t="s">
        <v>308</v>
      </c>
      <c r="F9" s="259"/>
      <c r="G9" s="259"/>
      <c r="H9" s="259"/>
      <c r="I9" s="260"/>
      <c r="J9" s="2009"/>
      <c r="K9" s="2008"/>
      <c r="L9" s="2008"/>
      <c r="M9" s="2008"/>
      <c r="N9" s="2008"/>
      <c r="O9" s="2008"/>
      <c r="P9" s="2008"/>
      <c r="Q9" s="2008"/>
      <c r="R9" s="2008"/>
      <c r="S9" s="2008"/>
      <c r="T9" s="2008"/>
      <c r="U9" s="2008"/>
      <c r="V9" s="2008"/>
    </row>
    <row r="10" spans="1:22" ht="13.8">
      <c r="A10" s="3478" t="s">
        <v>309</v>
      </c>
      <c r="B10" s="3504">
        <v>15</v>
      </c>
      <c r="C10" s="3502">
        <v>10</v>
      </c>
      <c r="D10" s="3509">
        <v>12</v>
      </c>
      <c r="E10" s="258" t="s">
        <v>310</v>
      </c>
      <c r="F10" s="259"/>
      <c r="G10" s="259"/>
      <c r="H10" s="259"/>
      <c r="I10" s="260"/>
      <c r="J10" s="2009"/>
      <c r="K10" s="2008"/>
      <c r="L10" s="2008"/>
      <c r="M10" s="2008"/>
      <c r="N10" s="2008"/>
      <c r="O10" s="2008"/>
      <c r="P10" s="2008"/>
      <c r="Q10" s="2008"/>
      <c r="R10" s="2008"/>
      <c r="S10" s="2008"/>
      <c r="T10" s="2008"/>
      <c r="U10" s="2008"/>
      <c r="V10" s="2008"/>
    </row>
    <row r="11" spans="1:22" ht="13.8">
      <c r="A11" s="3478"/>
      <c r="B11" s="3504"/>
      <c r="C11" s="3503"/>
      <c r="D11" s="3509"/>
      <c r="E11" s="258" t="s">
        <v>311</v>
      </c>
      <c r="F11" s="259"/>
      <c r="G11" s="259"/>
      <c r="H11" s="259"/>
      <c r="I11" s="260"/>
      <c r="J11" s="2009"/>
      <c r="K11" s="2008"/>
      <c r="L11" s="2008"/>
      <c r="M11" s="2008"/>
      <c r="N11" s="2008"/>
      <c r="O11" s="2008"/>
      <c r="P11" s="2008"/>
      <c r="Q11" s="2008"/>
      <c r="R11" s="2008"/>
      <c r="S11" s="2008"/>
      <c r="T11" s="2008"/>
      <c r="U11" s="2008"/>
      <c r="V11" s="2008"/>
    </row>
    <row r="12" spans="1:22" ht="13.8">
      <c r="A12" s="3478" t="s">
        <v>312</v>
      </c>
      <c r="B12" s="3504">
        <v>15</v>
      </c>
      <c r="C12" s="3502">
        <v>9</v>
      </c>
      <c r="D12" s="3509">
        <v>12</v>
      </c>
      <c r="E12" s="258" t="s">
        <v>313</v>
      </c>
      <c r="F12" s="259"/>
      <c r="G12" s="259"/>
      <c r="H12" s="259"/>
      <c r="I12" s="260"/>
      <c r="J12" s="2009"/>
      <c r="K12" s="2008"/>
      <c r="L12" s="2008"/>
      <c r="M12" s="2008"/>
      <c r="N12" s="2008"/>
      <c r="O12" s="2008"/>
      <c r="P12" s="2008"/>
      <c r="Q12" s="2008"/>
      <c r="R12" s="2008"/>
      <c r="S12" s="2008"/>
      <c r="T12" s="2008"/>
      <c r="U12" s="2008"/>
      <c r="V12" s="2008"/>
    </row>
    <row r="13" spans="1:22" ht="13.8">
      <c r="A13" s="3478"/>
      <c r="B13" s="3504"/>
      <c r="C13" s="3503"/>
      <c r="D13" s="3509"/>
      <c r="E13" s="258" t="s">
        <v>314</v>
      </c>
      <c r="F13" s="259"/>
      <c r="G13" s="259"/>
      <c r="H13" s="259"/>
      <c r="I13" s="260"/>
      <c r="J13" s="2009"/>
      <c r="K13" s="2008"/>
      <c r="L13" s="2008"/>
      <c r="M13" s="2008"/>
      <c r="N13" s="2008"/>
      <c r="O13" s="2008"/>
      <c r="P13" s="2008"/>
      <c r="Q13" s="2008"/>
      <c r="R13" s="2008"/>
      <c r="S13" s="2008"/>
      <c r="T13" s="2008"/>
      <c r="U13" s="2008"/>
      <c r="V13" s="2008"/>
    </row>
    <row r="14" spans="1:22" ht="13.8">
      <c r="A14" s="3478" t="s">
        <v>315</v>
      </c>
      <c r="B14" s="3504">
        <v>30</v>
      </c>
      <c r="C14" s="3505">
        <v>22</v>
      </c>
      <c r="D14" s="3508">
        <v>26</v>
      </c>
      <c r="E14" s="258" t="s">
        <v>316</v>
      </c>
      <c r="F14" s="259"/>
      <c r="G14" s="259"/>
      <c r="H14" s="259"/>
      <c r="I14" s="260"/>
      <c r="J14" s="2009"/>
      <c r="K14" s="2008"/>
      <c r="L14" s="2008"/>
      <c r="M14" s="2008"/>
      <c r="N14" s="2008"/>
      <c r="O14" s="2008"/>
      <c r="P14" s="2008"/>
      <c r="Q14" s="2008"/>
      <c r="R14" s="2008"/>
      <c r="S14" s="2008"/>
      <c r="T14" s="2008"/>
      <c r="U14" s="2008"/>
      <c r="V14" s="2008"/>
    </row>
    <row r="15" spans="1:22" ht="13.8">
      <c r="A15" s="3478"/>
      <c r="B15" s="3504"/>
      <c r="C15" s="3506"/>
      <c r="D15" s="3508"/>
      <c r="E15" s="258" t="s">
        <v>317</v>
      </c>
      <c r="F15" s="259"/>
      <c r="G15" s="259"/>
      <c r="H15" s="259"/>
      <c r="I15" s="260"/>
      <c r="J15" s="2009"/>
      <c r="K15" s="2008"/>
      <c r="L15" s="2008"/>
      <c r="M15" s="2008"/>
      <c r="N15" s="2008"/>
      <c r="O15" s="2008"/>
      <c r="P15" s="2008"/>
      <c r="Q15" s="2008"/>
      <c r="R15" s="2008"/>
      <c r="S15" s="2008"/>
      <c r="T15" s="2008"/>
      <c r="U15" s="2008"/>
      <c r="V15" s="2008"/>
    </row>
    <row r="16" spans="1:22" ht="13.8">
      <c r="A16" s="3478"/>
      <c r="B16" s="3504"/>
      <c r="C16" s="3507"/>
      <c r="D16" s="3508"/>
      <c r="E16" s="258" t="s">
        <v>318</v>
      </c>
      <c r="F16" s="259"/>
      <c r="G16" s="259"/>
      <c r="H16" s="259"/>
      <c r="I16" s="260"/>
      <c r="J16" s="2009"/>
      <c r="K16" s="2008"/>
      <c r="L16" s="2008"/>
      <c r="M16" s="2008"/>
      <c r="N16" s="2008"/>
      <c r="O16" s="2008"/>
      <c r="P16" s="2008"/>
      <c r="Q16" s="2008"/>
      <c r="R16" s="2008"/>
      <c r="S16" s="2008"/>
      <c r="T16" s="2008"/>
      <c r="U16" s="2008"/>
      <c r="V16" s="2008"/>
    </row>
    <row r="17" spans="1:26" ht="14.4">
      <c r="A17" s="261" t="s">
        <v>319</v>
      </c>
      <c r="B17" s="143"/>
      <c r="C17" s="262">
        <f>SUM(C5:C16)</f>
        <v>71</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 thickBot="1">
      <c r="A18" s="263" t="s">
        <v>320</v>
      </c>
      <c r="B18" s="105"/>
      <c r="C18" s="264">
        <f>ROUND(C17/SUM(C17:D17),2)</f>
        <v>0.45</v>
      </c>
      <c r="D18" s="264">
        <f>1-C18</f>
        <v>0.55000000000000004</v>
      </c>
      <c r="E18" s="308"/>
      <c r="F18" s="308"/>
      <c r="G18" s="308"/>
      <c r="H18" s="308"/>
      <c r="I18" s="308"/>
      <c r="J18" s="2008"/>
      <c r="K18" s="2008"/>
      <c r="L18" s="2008"/>
      <c r="M18" s="2008"/>
      <c r="N18" s="2008"/>
      <c r="O18" s="2008"/>
      <c r="P18" s="2008"/>
      <c r="Q18" s="2008"/>
      <c r="R18" s="2008"/>
      <c r="S18" s="2008"/>
      <c r="T18" s="2008"/>
      <c r="U18" s="2008"/>
      <c r="V18" s="2008"/>
    </row>
    <row r="19" spans="1:26" ht="14.4">
      <c r="A19" s="265" t="s">
        <v>321</v>
      </c>
      <c r="B19" s="266" t="s">
        <v>322</v>
      </c>
      <c r="C19" s="267">
        <f ca="1">SUMIF(INDIRECT("'"&amp;C4&amp;"'"&amp;"!A:A"),结果表!B19,INDIRECT("'"&amp;C4&amp;"'"&amp;"!B:B"))</f>
        <v>128834</v>
      </c>
      <c r="D19" s="268">
        <f ca="1">SUMIF(INDIRECT("'"&amp;D4&amp;"'"&amp;"!A:A"),结果表!B19,INDIRECT("'"&amp;D4&amp;"'"&amp;"!B:B"))</f>
        <v>88908</v>
      </c>
      <c r="E19" s="265" t="s">
        <v>323</v>
      </c>
      <c r="F19" s="266" t="s">
        <v>322</v>
      </c>
      <c r="G19" s="269">
        <f ca="1">ROUND(C19*$C$18+D19*$D$18,0)</f>
        <v>106875</v>
      </c>
      <c r="H19" s="270" t="s">
        <v>324</v>
      </c>
      <c r="I19" s="308"/>
      <c r="J19" s="2008"/>
      <c r="K19" s="2008"/>
      <c r="L19" s="2008"/>
      <c r="M19" s="2008"/>
      <c r="N19" s="2008"/>
      <c r="O19" s="2008"/>
      <c r="P19" s="2008"/>
      <c r="Q19" s="2008"/>
      <c r="R19" s="2008"/>
      <c r="S19" s="2008"/>
      <c r="T19" s="2008"/>
      <c r="U19" s="2008"/>
      <c r="V19" s="2008"/>
    </row>
    <row r="20" spans="1:26" ht="14.4">
      <c r="A20" s="271"/>
      <c r="B20" s="272" t="s">
        <v>325</v>
      </c>
      <c r="C20" s="273">
        <f ca="1">SUMIF(INDIRECT("'"&amp;C4&amp;"'"&amp;"!A:A"),结果表!B20,INDIRECT("'"&amp;C4&amp;"'"&amp;"!B:B"))</f>
        <v>8309</v>
      </c>
      <c r="D20" s="274">
        <f ca="1">SUMIF(INDIRECT("'"&amp;D4&amp;"'"&amp;"!A:A"),结果表!B20,INDIRECT("'"&amp;D4&amp;"'"&amp;"!B:B"))</f>
        <v>5734</v>
      </c>
      <c r="E20" s="271"/>
      <c r="F20" s="272" t="s">
        <v>325</v>
      </c>
      <c r="G20" s="275">
        <f ca="1">ROUND(C20*$C$18+D20*$D$18,0)</f>
        <v>6893</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31986</v>
      </c>
      <c r="D21" s="150">
        <f ca="1">SUMIF(INDIRECT("'"&amp;D4&amp;"'"&amp;"!A:A"),结果表!B21,INDIRECT("'"&amp;D4&amp;"'"&amp;"!B:B"))</f>
        <v>22073</v>
      </c>
      <c r="E21" s="271"/>
      <c r="F21" s="277" t="s">
        <v>327</v>
      </c>
      <c r="G21" s="279">
        <f ca="1">ROUND(C21*$C$18+D21*$D$18,0)</f>
        <v>26534</v>
      </c>
      <c r="H21" s="1243" t="s">
        <v>326</v>
      </c>
      <c r="I21" s="308"/>
      <c r="J21" s="2008"/>
      <c r="K21" s="2008"/>
      <c r="L21" s="2008"/>
      <c r="M21" s="2008"/>
      <c r="N21" s="2008"/>
      <c r="O21" s="2008"/>
      <c r="P21" s="2008"/>
      <c r="Q21" s="2008"/>
      <c r="R21" s="2008"/>
      <c r="S21" s="2008"/>
      <c r="T21" s="2008"/>
      <c r="U21" s="2008"/>
      <c r="V21" s="2008"/>
    </row>
    <row r="22" spans="1:26" ht="15" thickBot="1">
      <c r="A22" s="126" t="s">
        <v>328</v>
      </c>
      <c r="B22" s="1244"/>
      <c r="C22" s="1245"/>
      <c r="D22" s="280">
        <f ca="1">IF(C19&lt;D19,D19/C19-1,C19/D19-1)</f>
        <v>0.44907094974580475</v>
      </c>
      <c r="E22" s="281"/>
      <c r="F22" s="282"/>
      <c r="G22" s="283">
        <f ca="1">ROUND(G19/('数据-汇总表'!D3/666.67),0)</f>
        <v>1769</v>
      </c>
      <c r="H22" s="284" t="s">
        <v>329</v>
      </c>
      <c r="I22" s="308"/>
      <c r="J22" s="2008"/>
      <c r="K22" s="2008"/>
      <c r="L22" s="2008"/>
      <c r="M22" s="2008"/>
      <c r="N22" s="2008"/>
      <c r="O22" s="2008"/>
      <c r="P22" s="2008"/>
      <c r="Q22" s="2008"/>
      <c r="R22" s="2008"/>
      <c r="S22" s="2008"/>
      <c r="T22" s="2008"/>
      <c r="U22" s="2008"/>
      <c r="V22" s="2008"/>
    </row>
    <row r="23" spans="1:26" ht="13.8"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484"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7.399999999999999">
      <c r="A25" s="3485"/>
      <c r="B25" s="1313" t="s">
        <v>331</v>
      </c>
      <c r="C25" s="287">
        <f>IF(B30=0,0,C30)</f>
        <v>0</v>
      </c>
      <c r="D25" s="288"/>
      <c r="E25" s="308"/>
      <c r="F25" s="308"/>
      <c r="G25" s="308"/>
      <c r="H25" s="308"/>
      <c r="I25" s="308"/>
      <c r="J25" s="2008"/>
      <c r="K25" s="1247" t="str">
        <f ca="1">项目基本情况!B16&amp;"国有建设用地使用权价格："&amp;O38&amp;"万元"</f>
        <v>出让国有建设用地使用权价格：106875万元</v>
      </c>
      <c r="L25" s="1248"/>
      <c r="M25" s="1248"/>
      <c r="N25" s="1248"/>
      <c r="O25" s="1249"/>
      <c r="P25" s="2008"/>
      <c r="Q25" s="2008"/>
      <c r="R25" s="2008"/>
      <c r="S25" s="2008"/>
      <c r="T25" s="2008"/>
      <c r="U25" s="2008"/>
      <c r="V25" s="2008"/>
    </row>
    <row r="26" spans="1:26" s="1246" customFormat="1" ht="17.399999999999999">
      <c r="A26" s="290" t="s">
        <v>332</v>
      </c>
      <c r="B26" s="291" t="s">
        <v>333</v>
      </c>
      <c r="C26" s="291" t="s">
        <v>334</v>
      </c>
      <c r="D26" s="292" t="s">
        <v>335</v>
      </c>
      <c r="E26" s="308"/>
      <c r="F26" s="308"/>
      <c r="G26" s="308"/>
      <c r="H26" s="308"/>
      <c r="I26" s="308"/>
      <c r="J26" s="2008"/>
      <c r="K26" s="1250" t="str">
        <f ca="1">"大写金额：人民币"&amp;NUMBERSTRING(INT(O38*10000),2)&amp;"元整"</f>
        <v>大写金额：人民币壹拾亿陆仟捌佰柒拾伍万元整</v>
      </c>
      <c r="L26" s="1244"/>
      <c r="M26" s="1244"/>
      <c r="N26" s="1244"/>
      <c r="O26" s="1243"/>
      <c r="P26" s="2008"/>
      <c r="Q26" s="2008"/>
      <c r="R26" s="2008"/>
      <c r="S26" s="2008"/>
      <c r="T26" s="2008"/>
      <c r="U26" s="2008"/>
      <c r="V26" s="2008"/>
      <c r="W26" s="289"/>
      <c r="X26" s="289"/>
      <c r="Y26" s="289"/>
      <c r="Z26" s="289"/>
    </row>
    <row r="27" spans="1:26" ht="17.399999999999999">
      <c r="A27" s="3290" t="s">
        <v>3295</v>
      </c>
      <c r="B27" s="291">
        <f>'数据-汇总表'!G19</f>
        <v>16871</v>
      </c>
      <c r="C27" s="291">
        <v>1997.27</v>
      </c>
      <c r="D27" s="292">
        <f>ROUND(B27*C27/10000*1.0305,0)</f>
        <v>3472</v>
      </c>
      <c r="E27" s="308"/>
      <c r="F27" s="308"/>
      <c r="G27" s="308"/>
      <c r="H27" s="308"/>
      <c r="I27" s="308"/>
      <c r="J27" s="2008"/>
      <c r="K27" s="1250" t="str">
        <f ca="1">"单位面积地价："&amp;M38&amp;"元/平方米"</f>
        <v>单位面积地价：26534元/平方米</v>
      </c>
      <c r="L27" s="1244"/>
      <c r="M27" s="1244"/>
      <c r="N27" s="1244"/>
      <c r="O27" s="1243"/>
      <c r="P27" s="2008"/>
      <c r="Q27" s="2008"/>
      <c r="R27" s="2008"/>
      <c r="S27" s="2008"/>
      <c r="T27" s="2008"/>
      <c r="U27" s="2008"/>
      <c r="V27" s="2008"/>
    </row>
    <row r="28" spans="1:26" ht="18.75" customHeight="1">
      <c r="A28" s="3290" t="s">
        <v>3296</v>
      </c>
      <c r="B28" s="291">
        <f>'数据-基础表'!AN89</f>
        <v>43328.35</v>
      </c>
      <c r="C28" s="291">
        <v>570.65</v>
      </c>
      <c r="D28" s="292">
        <f>ROUND(B28*C28/10000*1.0305,0)</f>
        <v>2548</v>
      </c>
      <c r="E28" s="308"/>
      <c r="F28" s="308"/>
      <c r="G28" s="308"/>
      <c r="H28" s="308"/>
      <c r="I28" s="308"/>
      <c r="J28" s="2008"/>
      <c r="K28" s="1250" t="str">
        <f ca="1">"楼面地价："&amp;N38&amp;"元/平方米"</f>
        <v>楼面地价：6893元/平方米</v>
      </c>
      <c r="L28" s="1244"/>
      <c r="M28" s="1244"/>
      <c r="N28" s="1244"/>
      <c r="O28" s="1243"/>
      <c r="P28" s="2008"/>
      <c r="V28" s="2008"/>
    </row>
    <row r="29" spans="1:26" ht="17.399999999999999">
      <c r="A29" s="290"/>
      <c r="B29" s="291"/>
      <c r="C29" s="291"/>
      <c r="D29" s="292"/>
      <c r="E29" s="308"/>
      <c r="F29" s="308"/>
      <c r="G29" s="308"/>
      <c r="H29" s="308"/>
      <c r="I29" s="308"/>
      <c r="J29" s="2008"/>
      <c r="K29" s="1250" t="str">
        <f ca="1">IF(OR(项目基本情况!E8="抵押价格",项目基本情况!E8="已注销及未注销"),"抵押价格："&amp;O39&amp;"万元","——")</f>
        <v>抵押价格：100855万元</v>
      </c>
      <c r="L29" s="1244"/>
      <c r="M29" s="1244"/>
      <c r="N29" s="1244"/>
      <c r="O29" s="1243"/>
      <c r="P29" s="2008"/>
      <c r="V29" s="2008"/>
    </row>
    <row r="30" spans="1:26" ht="18" thickBot="1">
      <c r="A30" s="3067" t="s">
        <v>336</v>
      </c>
      <c r="B30" s="306"/>
      <c r="C30" s="306"/>
      <c r="D30" s="307">
        <f>D27+D28</f>
        <v>6020</v>
      </c>
      <c r="E30" s="3068" t="s">
        <v>2960</v>
      </c>
      <c r="F30" s="308"/>
      <c r="G30" s="308"/>
      <c r="H30" s="308"/>
      <c r="I30" s="308"/>
      <c r="J30" s="2008"/>
      <c r="K30" s="1250" t="str">
        <f ca="1">IF(K29="——","——","大写金额：人民币"&amp;NUMBERSTRING(INT(O39*10000),2)&amp;"元整")</f>
        <v>大写金额：人民币壹拾亿零捌佰伍拾伍万元整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 thickBot="1">
      <c r="A32" s="265" t="s">
        <v>337</v>
      </c>
      <c r="B32" s="1372" t="s">
        <v>1688</v>
      </c>
      <c r="C32" s="1373">
        <f ca="1">G19-C24</f>
        <v>106875</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 thickBot="1">
      <c r="A33" s="295" t="s">
        <v>340</v>
      </c>
      <c r="B33" s="1375" t="s">
        <v>1690</v>
      </c>
      <c r="C33" s="261">
        <f ca="1">ROUND(C32*10000/'数据-汇总表'!E3,0)</f>
        <v>6893</v>
      </c>
      <c r="D33" s="1376" t="s">
        <v>1691</v>
      </c>
      <c r="E33" s="3484" t="s">
        <v>338</v>
      </c>
      <c r="F33" s="293" t="s">
        <v>339</v>
      </c>
      <c r="G33" s="294"/>
      <c r="H33" s="976"/>
      <c r="I33" s="1251"/>
      <c r="J33" s="2008"/>
      <c r="K33" s="1250" t="str">
        <f>IF(项目基本情况!E9="——","——","抵押净值："&amp;C46&amp;"万元")</f>
        <v>——</v>
      </c>
      <c r="L33" s="1244"/>
      <c r="M33" s="1244"/>
      <c r="N33" s="1244"/>
      <c r="O33" s="1243"/>
      <c r="P33" s="2008"/>
      <c r="V33" s="2008"/>
    </row>
    <row r="34" spans="1:26" s="1246" customFormat="1" ht="18" thickBot="1">
      <c r="A34" s="297"/>
      <c r="B34" s="1377" t="s">
        <v>1692</v>
      </c>
      <c r="C34" s="261">
        <f ca="1">ROUND(C32*10000/'数据-汇总表'!D3,0)</f>
        <v>26534</v>
      </c>
      <c r="D34" s="1378" t="s">
        <v>1691</v>
      </c>
      <c r="E34" s="3529"/>
      <c r="F34" s="127" t="s">
        <v>341</v>
      </c>
      <c r="G34" s="296"/>
      <c r="H34" s="105"/>
      <c r="I34" s="308"/>
      <c r="J34" s="2008"/>
      <c r="K34" s="1253" t="str">
        <f>IF(K33="——","——","大写金额：人民币"&amp;NUMBERSTRING(INT(O41*10000),2)&amp;"元整")</f>
        <v>——</v>
      </c>
      <c r="L34" s="1254"/>
      <c r="M34" s="1254"/>
      <c r="N34" s="1254"/>
      <c r="O34" s="1255"/>
      <c r="P34" s="2008"/>
      <c r="Q34" s="289"/>
      <c r="R34" s="289"/>
      <c r="S34" s="289"/>
      <c r="T34" s="289"/>
      <c r="U34" s="289"/>
      <c r="V34" s="2008"/>
      <c r="W34" s="289"/>
      <c r="X34" s="289"/>
      <c r="Y34" s="289"/>
      <c r="Z34" s="289"/>
    </row>
    <row r="35" spans="1:26" ht="15" thickBot="1">
      <c r="A35" s="281"/>
      <c r="B35" s="1379"/>
      <c r="C35" s="1380">
        <f ca="1">ROUND(C32/('数据-汇总表'!D3/666.67),0)</f>
        <v>1769</v>
      </c>
      <c r="D35" s="1381" t="s">
        <v>1693</v>
      </c>
      <c r="E35" s="3530"/>
      <c r="F35" s="298" t="s">
        <v>342</v>
      </c>
      <c r="G35" s="978">
        <f>D30</f>
        <v>6020</v>
      </c>
      <c r="H35" s="977" t="s">
        <v>343</v>
      </c>
      <c r="I35" s="308"/>
      <c r="J35" s="2008"/>
      <c r="K35" s="3499" t="s">
        <v>350</v>
      </c>
      <c r="L35" s="3499" t="s">
        <v>351</v>
      </c>
      <c r="M35" s="1256" t="s">
        <v>352</v>
      </c>
      <c r="N35" s="3499" t="s">
        <v>353</v>
      </c>
      <c r="O35" s="3499" t="s">
        <v>354</v>
      </c>
      <c r="P35" s="2008"/>
      <c r="V35" s="2008"/>
    </row>
    <row r="36" spans="1:26" ht="16.5" customHeight="1">
      <c r="A36" s="300" t="s">
        <v>344</v>
      </c>
      <c r="B36" s="301" t="s">
        <v>333</v>
      </c>
      <c r="C36" s="302" t="s">
        <v>345</v>
      </c>
      <c r="D36" s="302" t="s">
        <v>346</v>
      </c>
      <c r="E36" s="303" t="s">
        <v>347</v>
      </c>
      <c r="F36" s="308"/>
      <c r="G36" s="308"/>
      <c r="H36" s="308"/>
      <c r="I36" s="308"/>
      <c r="J36" s="2010"/>
      <c r="K36" s="3500"/>
      <c r="L36" s="3500"/>
      <c r="M36" s="1258" t="s">
        <v>355</v>
      </c>
      <c r="N36" s="3500"/>
      <c r="O36" s="3500"/>
      <c r="P36" s="2008"/>
      <c r="V36" s="2008"/>
    </row>
    <row r="37" spans="1:26" ht="16.5" customHeight="1" thickBot="1">
      <c r="A37" s="1252" t="s">
        <v>348</v>
      </c>
      <c r="B37" s="304"/>
      <c r="C37" s="291"/>
      <c r="D37" s="291"/>
      <c r="E37" s="292"/>
      <c r="F37" s="308"/>
      <c r="G37" s="308"/>
      <c r="H37" s="308"/>
      <c r="I37" s="308"/>
      <c r="J37" s="2010"/>
      <c r="K37" s="3501"/>
      <c r="L37" s="3501"/>
      <c r="M37" s="1259"/>
      <c r="N37" s="3501"/>
      <c r="O37" s="3501"/>
      <c r="P37" s="2008"/>
      <c r="V37" s="2008"/>
    </row>
    <row r="38" spans="1:26" ht="16.5" customHeight="1" thickBot="1">
      <c r="A38" s="1252" t="s">
        <v>349</v>
      </c>
      <c r="B38" s="304"/>
      <c r="C38" s="291"/>
      <c r="D38" s="291"/>
      <c r="E38" s="292"/>
      <c r="F38" s="308"/>
      <c r="G38" s="308"/>
      <c r="H38" s="308"/>
      <c r="I38" s="308"/>
      <c r="J38" s="2010"/>
      <c r="K38" s="1260">
        <f>'数据-汇总表'!D3</f>
        <v>40278.800000000003</v>
      </c>
      <c r="L38" s="1261">
        <f>'数据-汇总表'!E3</f>
        <v>155053</v>
      </c>
      <c r="M38" s="1261">
        <f ca="1">C34</f>
        <v>26534</v>
      </c>
      <c r="N38" s="1261">
        <f ca="1">C33</f>
        <v>6893</v>
      </c>
      <c r="O38" s="1262">
        <f ca="1">C32</f>
        <v>106875</v>
      </c>
      <c r="P38" s="2008"/>
      <c r="Q38" s="254">
        <f ca="1">O38*10000/'数据-汇总表'!F27</f>
        <v>12848.921093377963</v>
      </c>
      <c r="V38" s="2008"/>
    </row>
    <row r="39" spans="1:26" ht="16.5" customHeight="1" thickBot="1">
      <c r="A39" s="1257"/>
      <c r="B39" s="305"/>
      <c r="C39" s="306"/>
      <c r="D39" s="306"/>
      <c r="E39" s="307"/>
      <c r="F39" s="308"/>
      <c r="G39" s="308"/>
      <c r="H39" s="308"/>
      <c r="I39" s="308"/>
      <c r="J39" s="2010"/>
      <c r="K39" s="3548" t="str">
        <f>MID(A44,3,LEN(A44)-2)</f>
        <v>抵押价格</v>
      </c>
      <c r="L39" s="3549"/>
      <c r="M39" s="3549"/>
      <c r="N39" s="3550"/>
      <c r="O39" s="1383">
        <f ca="1">C44</f>
        <v>100855</v>
      </c>
      <c r="P39" s="2008"/>
      <c r="V39" s="2008"/>
    </row>
    <row r="40" spans="1:26" ht="18" thickBot="1">
      <c r="A40" s="104" t="s">
        <v>873</v>
      </c>
      <c r="B40" s="308"/>
      <c r="C40" s="308"/>
      <c r="D40" s="308"/>
      <c r="E40" s="308"/>
      <c r="F40" s="308"/>
      <c r="G40" s="308"/>
      <c r="H40" s="308"/>
      <c r="I40" s="308"/>
      <c r="J40" s="2010"/>
      <c r="K40" s="3548" t="str">
        <f>MID(A45,3,LEN(A45)-2)</f>
        <v/>
      </c>
      <c r="L40" s="3549"/>
      <c r="M40" s="3549"/>
      <c r="N40" s="3550"/>
      <c r="O40" s="1383" t="str">
        <f>C45</f>
        <v>——</v>
      </c>
      <c r="P40" s="2008"/>
      <c r="V40" s="2008"/>
    </row>
    <row r="41" spans="1:26" ht="16.2" thickBot="1">
      <c r="A41" s="309" t="s">
        <v>356</v>
      </c>
      <c r="B41" s="310"/>
      <c r="C41" s="311" t="s">
        <v>357</v>
      </c>
      <c r="D41" s="312" t="s">
        <v>358</v>
      </c>
      <c r="E41" s="312" t="s">
        <v>359</v>
      </c>
      <c r="F41" s="313" t="s">
        <v>360</v>
      </c>
      <c r="G41" s="308"/>
      <c r="H41" s="308"/>
      <c r="I41" s="308"/>
      <c r="J41" s="2010"/>
      <c r="K41" s="3548" t="str">
        <f>MID(A46,3,LEN(A46)-2)</f>
        <v/>
      </c>
      <c r="L41" s="3549"/>
      <c r="M41" s="3549"/>
      <c r="N41" s="3550"/>
      <c r="O41" s="1383" t="str">
        <f>C46</f>
        <v>——</v>
      </c>
      <c r="P41" s="2008"/>
      <c r="V41" s="2008"/>
    </row>
    <row r="42" spans="1:26" ht="31.2">
      <c r="A42" s="3486" t="s">
        <v>2065</v>
      </c>
      <c r="B42" s="3487"/>
      <c r="C42" s="261">
        <f ca="1">C32</f>
        <v>106875</v>
      </c>
      <c r="D42" s="314">
        <f ca="1">C33</f>
        <v>6893</v>
      </c>
      <c r="E42" s="314">
        <f ca="1">C34</f>
        <v>26534</v>
      </c>
      <c r="F42" s="315">
        <f ca="1">C35</f>
        <v>1769</v>
      </c>
      <c r="G42" s="308"/>
      <c r="H42" s="308"/>
      <c r="I42" s="316"/>
      <c r="J42" s="2010"/>
      <c r="K42" s="1263" t="s">
        <v>361</v>
      </c>
      <c r="L42" s="2027" t="s">
        <v>362</v>
      </c>
      <c r="M42" s="1264" t="s">
        <v>363</v>
      </c>
      <c r="N42" s="2028" t="s">
        <v>364</v>
      </c>
      <c r="O42" s="2029" t="s">
        <v>365</v>
      </c>
      <c r="P42" s="2008"/>
      <c r="V42" s="2008"/>
    </row>
    <row r="43" spans="1:26" ht="30">
      <c r="A43" s="3497" t="s">
        <v>2726</v>
      </c>
      <c r="B43" s="3498"/>
      <c r="C43" s="261">
        <f>IF(H33="正常操作",G33+G34+G35,G34+G35)</f>
        <v>6020</v>
      </c>
      <c r="D43" s="314" t="s">
        <v>43</v>
      </c>
      <c r="E43" s="314" t="s">
        <v>44</v>
      </c>
      <c r="F43" s="315" t="s">
        <v>44</v>
      </c>
      <c r="G43" s="2816" t="s">
        <v>952</v>
      </c>
      <c r="H43" s="308"/>
      <c r="I43" s="316"/>
      <c r="J43" s="2010"/>
      <c r="K43" s="1265" t="str">
        <f>C4</f>
        <v>比较法-住宅、综合</v>
      </c>
      <c r="L43" s="1266">
        <f ca="1">IF(L42="估价结果/万元",C19,C20)</f>
        <v>128834</v>
      </c>
      <c r="M43" s="1267">
        <f>C18</f>
        <v>0.45</v>
      </c>
      <c r="N43" s="1268">
        <f ca="1">IF(N42="测算结果/万元",G19,G20)</f>
        <v>106875</v>
      </c>
      <c r="O43" s="1269">
        <f ca="1">IF(O42="最终结果/万元",C32,C33)</f>
        <v>106875</v>
      </c>
      <c r="P43" s="2008"/>
      <c r="V43" s="2008"/>
    </row>
    <row r="44" spans="1:26" ht="30.6" thickBot="1">
      <c r="A44" s="3486" t="str">
        <f>IF(OR(项目基本情况!E8="抵押价格",项目基本情况!E8="已注销及未注销"),"3.抵押价格","——")</f>
        <v>3.抵押价格</v>
      </c>
      <c r="B44" s="3487"/>
      <c r="C44" s="261">
        <f ca="1">IF(A44="——","——",C42-C43)</f>
        <v>100855</v>
      </c>
      <c r="D44" s="314">
        <f ca="1">ROUND(C44*10000/'数据-汇总表'!E3,0)</f>
        <v>6505</v>
      </c>
      <c r="E44" s="314">
        <f ca="1">ROUND(C44*10000/'数据-汇总表'!D3,0)</f>
        <v>25039</v>
      </c>
      <c r="F44" s="315">
        <f ca="1">ROUND(C44/('数据-汇总表'!D3/666.67),0)</f>
        <v>1669</v>
      </c>
      <c r="G44" s="308"/>
      <c r="H44" s="308"/>
      <c r="I44" s="316"/>
      <c r="J44" s="2010"/>
      <c r="K44" s="1270" t="str">
        <f>D4</f>
        <v>剩余法-待开发</v>
      </c>
      <c r="L44" s="1271">
        <f ca="1">IF(L42="估价结果/万元",D19,D20)</f>
        <v>88908</v>
      </c>
      <c r="M44" s="1272">
        <f>D18</f>
        <v>0.55000000000000004</v>
      </c>
      <c r="N44" s="1273"/>
      <c r="O44" s="1274"/>
      <c r="P44" s="2008"/>
      <c r="V44" s="2008"/>
    </row>
    <row r="45" spans="1:26" ht="13.8">
      <c r="A45" s="3492" t="str">
        <f>IF(项目基本情况!E8="已注销及未注销","4.抵押担保权已注销时的抵押价格",IF(项目基本情况!E8="已注销","3.抵押担保权已注销时的抵押价格","——"))</f>
        <v>——</v>
      </c>
      <c r="B45" s="3493"/>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4.4" thickBot="1">
      <c r="A46" s="3488" t="str">
        <f>IF(项目基本情况!E9="抵押净值",IF(A45="——","4.抵押净值","5.抵押净值"),"——")</f>
        <v>——</v>
      </c>
      <c r="B46" s="3489"/>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6">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本次评估估价师知悉的法定优先受偿款为人民币6020万元整。</v>
      </c>
      <c r="L47" s="2008"/>
      <c r="M47" s="2008"/>
      <c r="N47" s="2008"/>
      <c r="O47" s="2008"/>
      <c r="P47" s="2008"/>
      <c r="Q47" s="2008"/>
      <c r="R47" s="2008"/>
      <c r="S47" s="2008"/>
      <c r="T47" s="2008"/>
      <c r="U47" s="2008"/>
      <c r="V47" s="2008"/>
    </row>
    <row r="48" spans="1:26" ht="13.2">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3.2">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3.2">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3.2">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3.2">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3.2">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3.2">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3.2">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3.2">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3.2">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3.2">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3.2">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3.2">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3.2">
      <c r="A61" s="254"/>
      <c r="B61" s="336"/>
      <c r="C61" s="337"/>
      <c r="D61" s="215"/>
      <c r="E61" s="215"/>
      <c r="F61" s="250"/>
      <c r="G61" s="254"/>
      <c r="H61" s="254"/>
      <c r="I61" s="254"/>
      <c r="J61" s="2011"/>
      <c r="K61" s="2008"/>
      <c r="L61" s="2008"/>
      <c r="M61" s="2008"/>
      <c r="N61" s="2008"/>
      <c r="O61" s="2008"/>
      <c r="P61" s="2008"/>
      <c r="Q61" s="2008"/>
      <c r="R61" s="2008"/>
      <c r="S61" s="2008"/>
      <c r="T61" s="2008"/>
      <c r="U61" s="2008"/>
      <c r="V61" s="2008"/>
    </row>
    <row r="62" spans="1:22" ht="17.399999999999999">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537" t="s">
        <v>374</v>
      </c>
      <c r="B63" s="3538"/>
      <c r="C63" s="3539"/>
      <c r="D63" s="338">
        <f ca="1">ROUND(C42*F63,0)</f>
        <v>106875</v>
      </c>
      <c r="E63" s="299" t="s">
        <v>375</v>
      </c>
      <c r="F63" s="339">
        <v>1</v>
      </c>
      <c r="G63" s="340" t="s">
        <v>376</v>
      </c>
      <c r="H63" s="308"/>
      <c r="I63" s="308"/>
      <c r="J63" s="2008"/>
      <c r="K63" s="2008"/>
      <c r="L63" s="2008"/>
      <c r="M63" s="2008"/>
      <c r="N63" s="2008"/>
      <c r="O63" s="2008"/>
      <c r="P63" s="308"/>
      <c r="Q63" s="2008"/>
      <c r="R63" s="2008"/>
      <c r="S63" s="2008"/>
      <c r="T63" s="2008"/>
      <c r="U63" s="2008"/>
      <c r="V63" s="2008"/>
    </row>
    <row r="64" spans="1:22" ht="14.25" customHeight="1">
      <c r="A64" s="3494" t="s">
        <v>378</v>
      </c>
      <c r="B64" s="3495"/>
      <c r="C64" s="3495"/>
      <c r="D64" s="3495"/>
      <c r="E64" s="3495"/>
      <c r="F64" s="3495"/>
      <c r="G64" s="3496"/>
      <c r="H64" s="1280"/>
      <c r="I64" s="944"/>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6.4">
      <c r="A66" s="3490" t="s">
        <v>386</v>
      </c>
      <c r="B66" s="3491"/>
      <c r="C66" s="3491"/>
      <c r="D66" s="258">
        <f ca="1">IF(H66="情况1",0,IF(H66="情况2",D70,IF(H66="情况3",D71,IF(H66="情况4",D72))))</f>
        <v>5598</v>
      </c>
      <c r="E66" s="989" t="str">
        <f>IF(H66="情况4","(销售额-原购置价)×税（费）率","销售额×税（费）率")</f>
        <v>销售额×税（费）率</v>
      </c>
      <c r="F66" s="347">
        <f>IF(H66="情况1","免征",'数据-取费表'!B41)</f>
        <v>5.5000000000000007E-2</v>
      </c>
      <c r="G66" s="348" t="s">
        <v>387</v>
      </c>
      <c r="H66" s="190" t="s">
        <v>388</v>
      </c>
      <c r="I66" s="1280"/>
      <c r="J66" s="2014"/>
      <c r="K66" s="1283">
        <v>1</v>
      </c>
      <c r="L66" s="3552" t="s">
        <v>385</v>
      </c>
      <c r="M66" s="3553"/>
      <c r="N66" s="2417"/>
      <c r="O66" s="2418"/>
      <c r="P66" s="2419"/>
      <c r="Q66" s="2008"/>
      <c r="R66" s="2008"/>
      <c r="S66" s="2008"/>
      <c r="T66" s="2008"/>
      <c r="U66" s="2008"/>
      <c r="V66" s="2008"/>
    </row>
    <row r="67" spans="1:22" ht="25.5" customHeight="1">
      <c r="A67" s="349" t="s">
        <v>390</v>
      </c>
      <c r="B67" s="3481" t="s">
        <v>391</v>
      </c>
      <c r="C67" s="3481"/>
      <c r="D67" s="350">
        <v>0</v>
      </c>
      <c r="E67" s="41" t="s">
        <v>392</v>
      </c>
      <c r="F67" s="62" t="s">
        <v>21</v>
      </c>
      <c r="G67" s="3540"/>
      <c r="H67" s="308"/>
      <c r="I67" s="1284"/>
      <c r="J67" s="2015"/>
      <c r="K67" s="1956">
        <v>2</v>
      </c>
      <c r="L67" s="3551" t="s">
        <v>389</v>
      </c>
      <c r="M67" s="3551"/>
      <c r="N67" s="1317">
        <f>'数据-取费表'!B2</f>
        <v>44027</v>
      </c>
      <c r="O67" s="1317"/>
      <c r="P67" s="1317"/>
      <c r="Q67" s="2008"/>
      <c r="R67" s="2008"/>
      <c r="S67" s="2008"/>
      <c r="T67" s="2008"/>
      <c r="U67" s="2008"/>
      <c r="V67" s="2008"/>
    </row>
    <row r="68" spans="1:22" ht="25.5" customHeight="1">
      <c r="A68" s="351"/>
      <c r="B68" s="3481" t="s">
        <v>394</v>
      </c>
      <c r="C68" s="3481"/>
      <c r="D68" s="352"/>
      <c r="E68" s="77"/>
      <c r="F68" s="353"/>
      <c r="G68" s="3541"/>
      <c r="H68" s="308"/>
      <c r="I68" s="1284"/>
      <c r="J68" s="2015"/>
      <c r="K68" s="1956">
        <v>3</v>
      </c>
      <c r="L68" s="3551" t="s">
        <v>393</v>
      </c>
      <c r="M68" s="3551"/>
      <c r="N68" s="1285">
        <f ca="1">C42</f>
        <v>106875</v>
      </c>
      <c r="O68" s="1285"/>
      <c r="P68" s="1285"/>
      <c r="Q68" s="2008"/>
      <c r="R68" s="2008"/>
      <c r="S68" s="2008"/>
      <c r="T68" s="2008"/>
      <c r="U68" s="2008"/>
      <c r="V68" s="2008"/>
    </row>
    <row r="69" spans="1:22" ht="12" customHeight="1">
      <c r="A69" s="354"/>
      <c r="B69" s="3481" t="s">
        <v>395</v>
      </c>
      <c r="C69" s="3481"/>
      <c r="D69" s="355"/>
      <c r="E69" s="73"/>
      <c r="F69" s="353"/>
      <c r="G69" s="3542"/>
      <c r="H69" s="308"/>
      <c r="I69" s="1284"/>
      <c r="J69" s="2015"/>
      <c r="K69" s="1286">
        <v>4</v>
      </c>
      <c r="L69" s="3556" t="s">
        <v>2879</v>
      </c>
      <c r="M69" s="3557"/>
      <c r="N69" s="1287">
        <f ca="1">C44</f>
        <v>100855</v>
      </c>
      <c r="O69" s="1287"/>
      <c r="P69" s="1287"/>
      <c r="Q69" s="2008"/>
      <c r="R69" s="2008"/>
      <c r="S69" s="2008"/>
      <c r="T69" s="2008"/>
      <c r="U69" s="2008"/>
      <c r="V69" s="2008"/>
    </row>
    <row r="70" spans="1:22" ht="24" customHeight="1">
      <c r="A70" s="356" t="s">
        <v>396</v>
      </c>
      <c r="B70" s="3481" t="s">
        <v>397</v>
      </c>
      <c r="C70" s="3481"/>
      <c r="D70" s="355">
        <f ca="1">ROUND(D63*'数据-取费表'!B41/(1+'数据-取费表'!C42),0)</f>
        <v>5598</v>
      </c>
      <c r="E70" s="17" t="s">
        <v>398</v>
      </c>
      <c r="F70" s="357">
        <f>'数据-取费表'!B41</f>
        <v>5.5000000000000007E-2</v>
      </c>
      <c r="G70" s="358"/>
      <c r="H70" s="308"/>
      <c r="I70" s="1284"/>
      <c r="J70" s="2015"/>
      <c r="K70" s="3000"/>
      <c r="L70" s="3001"/>
      <c r="M70" s="3001"/>
      <c r="N70" s="3002" t="s">
        <v>2883</v>
      </c>
      <c r="O70" s="3001"/>
      <c r="P70" s="3003"/>
      <c r="Q70" s="2008"/>
      <c r="R70" s="2008"/>
      <c r="S70" s="2008"/>
      <c r="T70" s="2008"/>
      <c r="U70" s="2008"/>
      <c r="V70" s="2008"/>
    </row>
    <row r="71" spans="1:22" ht="12" customHeight="1">
      <c r="A71" s="356" t="s">
        <v>404</v>
      </c>
      <c r="B71" s="3482" t="s">
        <v>405</v>
      </c>
      <c r="C71" s="3483"/>
      <c r="D71" s="355">
        <f ca="1">ROUND(D63*'数据-取费表'!B41/(1+'数据-取费表'!C42),0)</f>
        <v>5598</v>
      </c>
      <c r="E71" s="17" t="s">
        <v>398</v>
      </c>
      <c r="F71" s="357">
        <f>'数据-取费表'!B41</f>
        <v>5.5000000000000007E-2</v>
      </c>
      <c r="G71" s="358"/>
      <c r="H71" s="308"/>
      <c r="I71" s="1284"/>
      <c r="J71" s="2015"/>
      <c r="K71" s="2999" t="s">
        <v>399</v>
      </c>
      <c r="L71" s="3558" t="s">
        <v>400</v>
      </c>
      <c r="M71" s="3558"/>
      <c r="N71" s="2999" t="s">
        <v>401</v>
      </c>
      <c r="O71" s="2999" t="s">
        <v>402</v>
      </c>
      <c r="P71" s="2999" t="s">
        <v>403</v>
      </c>
      <c r="Q71" s="2008"/>
      <c r="R71" s="2008"/>
      <c r="S71" s="2008"/>
      <c r="T71" s="2008"/>
      <c r="U71" s="2008"/>
      <c r="V71" s="2008"/>
    </row>
    <row r="72" spans="1:22" ht="12" customHeight="1">
      <c r="A72" s="356" t="s">
        <v>407</v>
      </c>
      <c r="B72" s="3482" t="s">
        <v>408</v>
      </c>
      <c r="C72" s="3483"/>
      <c r="D72" s="355">
        <f ca="1">C86</f>
        <v>5488</v>
      </c>
      <c r="E72" s="73" t="s">
        <v>409</v>
      </c>
      <c r="F72" s="357">
        <f>'数据-取费表'!B41</f>
        <v>5.5000000000000007E-2</v>
      </c>
      <c r="G72" s="358"/>
      <c r="H72" s="1290"/>
      <c r="I72" s="1284"/>
      <c r="J72" s="2015"/>
      <c r="K72" s="1956">
        <v>1</v>
      </c>
      <c r="L72" s="3533" t="s">
        <v>406</v>
      </c>
      <c r="M72" s="3533"/>
      <c r="N72" s="1288">
        <f ca="1">D66</f>
        <v>5598</v>
      </c>
      <c r="O72" s="1839" t="str">
        <f>E66</f>
        <v>销售额×税（费）率</v>
      </c>
      <c r="P72" s="1289">
        <f>F66</f>
        <v>5.5000000000000007E-2</v>
      </c>
      <c r="Q72" s="2008"/>
      <c r="R72" s="2008"/>
      <c r="S72" s="2008"/>
      <c r="T72" s="2008"/>
      <c r="U72" s="2008"/>
      <c r="V72" s="2008"/>
    </row>
    <row r="73" spans="1:22" ht="24" customHeight="1">
      <c r="A73" s="3527" t="s">
        <v>411</v>
      </c>
      <c r="B73" s="3491"/>
      <c r="C73" s="3491"/>
      <c r="D73" s="359">
        <f ca="1">IF(H73="个人住宅",0,ROUND(D63*I73,0))</f>
        <v>53</v>
      </c>
      <c r="E73" s="17" t="s">
        <v>412</v>
      </c>
      <c r="F73" s="357">
        <f>IF(H73="正常",I73,"免征")</f>
        <v>5.0000000000000001E-4</v>
      </c>
      <c r="G73" s="358"/>
      <c r="H73" s="190" t="s">
        <v>3053</v>
      </c>
      <c r="I73" s="357">
        <f>'数据-取费表'!B49</f>
        <v>5.0000000000000001E-4</v>
      </c>
      <c r="J73" s="2015"/>
      <c r="K73" s="1956">
        <v>2</v>
      </c>
      <c r="L73" s="3533" t="s">
        <v>410</v>
      </c>
      <c r="M73" s="3533"/>
      <c r="N73" s="1288">
        <f t="shared" ref="N73:P74" ca="1" si="0">D73</f>
        <v>53</v>
      </c>
      <c r="O73" s="1839" t="str">
        <f t="shared" si="0"/>
        <v>销售额×税（费）率</v>
      </c>
      <c r="P73" s="1289">
        <f t="shared" si="0"/>
        <v>5.0000000000000001E-4</v>
      </c>
      <c r="Q73" s="2008"/>
      <c r="R73" s="2008"/>
      <c r="S73" s="2008"/>
      <c r="T73" s="2008"/>
      <c r="U73" s="2008"/>
      <c r="V73" s="2008"/>
    </row>
    <row r="74" spans="1:22" ht="25.2">
      <c r="A74" s="3527" t="s">
        <v>415</v>
      </c>
      <c r="B74" s="3491"/>
      <c r="C74" s="3491"/>
      <c r="D74" s="359">
        <f ca="1">IF(H74="个人住宅",D75,D76)</f>
        <v>59933</v>
      </c>
      <c r="E74" s="17" t="s">
        <v>416</v>
      </c>
      <c r="F74" s="357" t="str">
        <f>IF(H74="正常",F76,"免征")</f>
        <v>——</v>
      </c>
      <c r="G74" s="979" t="s">
        <v>417</v>
      </c>
      <c r="H74" s="360" t="s">
        <v>413</v>
      </c>
      <c r="I74" s="42"/>
      <c r="J74" s="2015"/>
      <c r="K74" s="1956">
        <v>3</v>
      </c>
      <c r="L74" s="3533" t="s">
        <v>414</v>
      </c>
      <c r="M74" s="3533"/>
      <c r="N74" s="1288">
        <f t="shared" ca="1" si="0"/>
        <v>59933</v>
      </c>
      <c r="O74" s="1839" t="str">
        <f t="shared" si="0"/>
        <v>增值额×税（费）率</v>
      </c>
      <c r="P74" s="1291" t="str">
        <f t="shared" si="0"/>
        <v>——</v>
      </c>
      <c r="Q74" s="2008"/>
      <c r="R74" s="2008"/>
      <c r="S74" s="2008"/>
      <c r="T74" s="2008"/>
      <c r="U74" s="2008"/>
      <c r="V74" s="2008"/>
    </row>
    <row r="75" spans="1:22" ht="13.2">
      <c r="A75" s="356" t="s">
        <v>418</v>
      </c>
      <c r="B75" s="3479" t="s">
        <v>419</v>
      </c>
      <c r="C75" s="3513"/>
      <c r="D75" s="361">
        <v>0</v>
      </c>
      <c r="E75" s="41" t="s">
        <v>420</v>
      </c>
      <c r="F75" s="362"/>
      <c r="G75" s="358"/>
      <c r="H75" s="42"/>
      <c r="I75" s="42"/>
      <c r="J75" s="2015"/>
      <c r="K75" s="2992" t="str">
        <f>IF(H77="非个人房产","",4)</f>
        <v/>
      </c>
      <c r="L75" s="3533" t="str">
        <f>IF(H77="非个人房产","——","个人所得税")</f>
        <v>——</v>
      </c>
      <c r="M75" s="3533"/>
      <c r="N75" s="1292" t="str">
        <f>D77</f>
        <v>——</v>
      </c>
      <c r="O75" s="1852" t="str">
        <f>E77</f>
        <v>——</v>
      </c>
      <c r="P75" s="1293" t="str">
        <f>F77</f>
        <v>——</v>
      </c>
      <c r="Q75" s="2008"/>
      <c r="R75" s="2008"/>
      <c r="S75" s="2008"/>
      <c r="T75" s="2008"/>
      <c r="U75" s="2008"/>
      <c r="V75" s="2008"/>
    </row>
    <row r="76" spans="1:22" ht="25.2">
      <c r="A76" s="356" t="s">
        <v>396</v>
      </c>
      <c r="B76" s="3479" t="s">
        <v>422</v>
      </c>
      <c r="C76" s="3480"/>
      <c r="D76" s="359">
        <f ca="1">IF(H76="转让取得",C99,C115)</f>
        <v>59933</v>
      </c>
      <c r="E76" s="17" t="s">
        <v>423</v>
      </c>
      <c r="F76" s="53" t="s">
        <v>21</v>
      </c>
      <c r="G76" s="358"/>
      <c r="H76" s="360" t="s">
        <v>424</v>
      </c>
      <c r="I76" s="42"/>
      <c r="J76" s="2015"/>
      <c r="K76" s="2992" t="str">
        <f>IF(项目基本情况!K6="上海银行",IF(K75="",4,K75+1),"")</f>
        <v/>
      </c>
      <c r="L76" s="3544" t="str">
        <f>IF(项目基本情况!K6="上海银行","其他处置费用","")</f>
        <v/>
      </c>
      <c r="M76" s="3545"/>
      <c r="N76" s="1288" t="str">
        <f>IF(项目基本情况!K6="上海银行",N89,"")</f>
        <v/>
      </c>
      <c r="O76" s="3546" t="str">
        <f>IF(项目基本情况!K6="上海银行","包含处置中涉及的律师、诉讼、拍卖、评估等费用","")</f>
        <v/>
      </c>
      <c r="P76" s="3547"/>
      <c r="Q76" s="2008"/>
      <c r="R76" s="2008"/>
      <c r="S76" s="2008"/>
      <c r="T76" s="2008"/>
      <c r="U76" s="2008"/>
      <c r="V76" s="2008"/>
    </row>
    <row r="77" spans="1:22" ht="24.6" thickBot="1">
      <c r="A77" s="3535" t="s">
        <v>426</v>
      </c>
      <c r="B77" s="3536"/>
      <c r="C77" s="3536"/>
      <c r="D77" s="363" t="str">
        <f>IF(H77="非个人房产","——",IF(H77="个人住宅",0,ROUND(D63*I77,0)))</f>
        <v>——</v>
      </c>
      <c r="E77" s="364" t="str">
        <f>IF(H77="非个人房产","——","销售额×税（费）率")</f>
        <v>——</v>
      </c>
      <c r="F77" s="365" t="str">
        <f>IF(H77="非个人房产","——",IF(H77="个人住宅","免征",I77))</f>
        <v>——</v>
      </c>
      <c r="G77" s="980" t="s">
        <v>417</v>
      </c>
      <c r="H77" s="360" t="s">
        <v>3054</v>
      </c>
      <c r="I77" s="366">
        <v>0.01</v>
      </c>
      <c r="J77" s="2015"/>
      <c r="K77" s="3534">
        <f>IF(AND(K75="",K76=""),4,IF(项目基本情况!K6="上海银行",K76+1,K75+1))</f>
        <v>4</v>
      </c>
      <c r="L77" s="3533" t="s">
        <v>2880</v>
      </c>
      <c r="M77" s="2998" t="s">
        <v>421</v>
      </c>
      <c r="N77" s="1294"/>
      <c r="O77" s="1295">
        <f ca="1">SUMIF(N72:N76,"&lt;9e307")</f>
        <v>65584</v>
      </c>
      <c r="P77" s="1296"/>
      <c r="Q77" s="2996">
        <f ca="1">O77/N69</f>
        <v>0.65028010510138312</v>
      </c>
      <c r="R77" s="2008"/>
      <c r="S77" s="2008"/>
      <c r="T77" s="2008"/>
      <c r="U77" s="2008"/>
      <c r="V77" s="2008"/>
    </row>
    <row r="78" spans="1:22" ht="12" customHeight="1">
      <c r="A78" s="1297"/>
      <c r="B78" s="308"/>
      <c r="C78" s="308"/>
      <c r="D78" s="308"/>
      <c r="E78" s="42"/>
      <c r="F78" s="42"/>
      <c r="G78" s="42"/>
      <c r="H78" s="999"/>
      <c r="I78" s="308"/>
      <c r="J78" s="2015"/>
      <c r="K78" s="3534"/>
      <c r="L78" s="3533"/>
      <c r="M78" s="2998" t="s">
        <v>425</v>
      </c>
      <c r="N78" s="1294"/>
      <c r="O78" s="1295" t="str">
        <f ca="1">NUMBERSTRING(INT(O77*10000),2)&amp;"元整"</f>
        <v>陆亿伍仟伍佰捌拾肆万元整</v>
      </c>
      <c r="P78" s="1296"/>
      <c r="Q78" s="2008"/>
      <c r="R78" s="2008"/>
      <c r="S78" s="2008"/>
      <c r="T78" s="2008"/>
      <c r="U78" s="2008"/>
      <c r="V78" s="2008"/>
    </row>
    <row r="79" spans="1:22" ht="13.8" thickBot="1">
      <c r="A79" s="3528" t="s">
        <v>427</v>
      </c>
      <c r="B79" s="3528"/>
      <c r="C79" s="3528"/>
      <c r="D79" s="3528"/>
      <c r="E79" s="3528"/>
      <c r="F79" s="42"/>
      <c r="G79" s="42"/>
      <c r="H79" s="999"/>
      <c r="I79" s="308"/>
      <c r="J79" s="2015"/>
      <c r="K79" s="3554">
        <f>K77+1</f>
        <v>5</v>
      </c>
      <c r="L79" s="3533" t="s">
        <v>2881</v>
      </c>
      <c r="M79" s="2998" t="s">
        <v>421</v>
      </c>
      <c r="N79" s="1294"/>
      <c r="O79" s="1295">
        <f ca="1">N69-O77</f>
        <v>35271</v>
      </c>
      <c r="P79" s="1296"/>
      <c r="Q79" s="2008"/>
      <c r="R79" s="2008"/>
      <c r="S79" s="2008"/>
      <c r="T79" s="2008"/>
      <c r="U79" s="2008"/>
      <c r="V79" s="2008"/>
    </row>
    <row r="80" spans="1:22" ht="26.4">
      <c r="A80" s="3523" t="s">
        <v>428</v>
      </c>
      <c r="B80" s="3524"/>
      <c r="C80" s="990"/>
      <c r="D80" s="990" t="s">
        <v>429</v>
      </c>
      <c r="E80" s="367" t="s">
        <v>430</v>
      </c>
      <c r="F80" s="42"/>
      <c r="G80" s="42"/>
      <c r="H80" s="999"/>
      <c r="I80" s="308"/>
      <c r="J80" s="2008"/>
      <c r="K80" s="3555"/>
      <c r="L80" s="3533"/>
      <c r="M80" s="2998" t="s">
        <v>425</v>
      </c>
      <c r="N80" s="1294"/>
      <c r="O80" s="1295" t="str">
        <f ca="1">NUMBERSTRING(INT(O79*10000),2)&amp;"元整"</f>
        <v>叁亿伍仟贰佰柒拾壹万元整</v>
      </c>
      <c r="P80" s="1296"/>
      <c r="Q80" s="2008"/>
      <c r="R80" s="2008"/>
      <c r="S80" s="2008"/>
      <c r="T80" s="2008"/>
      <c r="U80" s="2008"/>
      <c r="V80" s="2008"/>
    </row>
    <row r="81" spans="1:26" ht="13.8" thickBot="1">
      <c r="A81" s="378" t="s">
        <v>1823</v>
      </c>
      <c r="B81" s="368" t="s">
        <v>431</v>
      </c>
      <c r="C81" s="369">
        <f ca="1">ROUND((C82+C83)/(1+'数据-取费表'!C42),0)</f>
        <v>101786</v>
      </c>
      <c r="D81" s="370"/>
      <c r="E81" s="371"/>
      <c r="F81" s="42"/>
      <c r="G81" s="42"/>
      <c r="H81" s="999"/>
      <c r="I81" s="308"/>
      <c r="J81" s="2008"/>
      <c r="K81" s="2992">
        <f>K79+1</f>
        <v>6</v>
      </c>
      <c r="L81" s="3531" t="s">
        <v>2882</v>
      </c>
      <c r="M81" s="3532"/>
      <c r="N81" s="1298"/>
      <c r="O81" s="1299">
        <f ca="1">ROUND(O79*10000/'数据-汇总表'!E3,0)</f>
        <v>2275</v>
      </c>
      <c r="P81" s="1300"/>
      <c r="Q81" s="2008"/>
      <c r="R81" s="2008"/>
      <c r="S81" s="2008"/>
      <c r="T81" s="2008"/>
      <c r="U81" s="2008"/>
      <c r="V81" s="2008"/>
    </row>
    <row r="82" spans="1:26" ht="13.8" thickTop="1">
      <c r="A82" s="372" t="s">
        <v>1824</v>
      </c>
      <c r="B82" s="373" t="s">
        <v>432</v>
      </c>
      <c r="C82" s="374">
        <f ca="1">D63</f>
        <v>106875</v>
      </c>
      <c r="D82" s="375" t="s">
        <v>19</v>
      </c>
      <c r="E82" s="376"/>
      <c r="F82" s="42"/>
      <c r="G82" s="42"/>
      <c r="H82" s="999"/>
      <c r="I82" s="308"/>
      <c r="J82" s="2008"/>
      <c r="K82" s="2008"/>
      <c r="L82" s="2008"/>
      <c r="M82" s="2008"/>
      <c r="N82" s="2008"/>
      <c r="O82" s="2008"/>
      <c r="P82" s="2008"/>
      <c r="Q82" s="2008"/>
      <c r="R82" s="2008"/>
      <c r="S82" s="2008"/>
      <c r="T82" s="2008"/>
      <c r="U82" s="2008"/>
      <c r="V82" s="2008"/>
    </row>
    <row r="83" spans="1:26" ht="13.2">
      <c r="A83" s="372" t="s">
        <v>1825</v>
      </c>
      <c r="B83" s="373" t="s">
        <v>433</v>
      </c>
      <c r="C83" s="377">
        <v>0</v>
      </c>
      <c r="D83" s="375"/>
      <c r="E83" s="376"/>
      <c r="F83" s="42"/>
      <c r="G83" s="42"/>
      <c r="H83" s="999"/>
      <c r="I83" s="308"/>
      <c r="J83" s="2008"/>
      <c r="K83" s="3543" t="s">
        <v>2870</v>
      </c>
      <c r="L83" s="3004" t="s">
        <v>2871</v>
      </c>
      <c r="M83" s="2994">
        <f ca="1">IF(N69&gt;10000,N69*0.5%,IF(AND(N69&gt;1000,N69&lt;=10000),N69*1%,IF(AND(N69&gt;100,N69&lt;=1000),N69*3%,IF(AND(N69&gt;10,N69&lt;=100),N69*5%,N69*8%))))</f>
        <v>504.27500000000003</v>
      </c>
      <c r="N83" s="53">
        <f ca="1">ROUND(M83,1)</f>
        <v>504.3</v>
      </c>
      <c r="O83" s="2997"/>
      <c r="P83" s="2008"/>
      <c r="Q83" s="2008"/>
      <c r="R83" s="2008"/>
      <c r="S83" s="2008"/>
      <c r="T83" s="2008"/>
      <c r="U83" s="2008"/>
      <c r="V83" s="2008"/>
    </row>
    <row r="84" spans="1:26" ht="25.2">
      <c r="A84" s="378" t="s">
        <v>1826</v>
      </c>
      <c r="B84" s="379" t="s">
        <v>434</v>
      </c>
      <c r="C84" s="380">
        <v>2000</v>
      </c>
      <c r="D84" s="381" t="s">
        <v>19</v>
      </c>
      <c r="E84" s="3038" t="s">
        <v>2933</v>
      </c>
      <c r="F84" s="42"/>
      <c r="G84" s="42"/>
      <c r="H84" s="999"/>
      <c r="I84" s="308"/>
      <c r="J84" s="2008"/>
      <c r="K84" s="3543"/>
      <c r="L84" s="3004" t="s">
        <v>2872</v>
      </c>
      <c r="M84" s="2994">
        <f ca="1">IF(N69&gt;2000,N69*0.5%,IF(AND(N69&gt;1000,N69&lt;=2000),N69*0.6%,IF(AND(N69&gt;500,N69&lt;=1000),N69*0.7%,IF(AND(N69&gt;200,N69&lt;=500),N69*0.8%,IF(AND(N69&gt;100,N69&lt;=200),N69*0.9%,IF(AND(N69&gt;50,N69&lt;=100),N69*1%,IF(AND(N69&gt;20,N69&lt;=50),N69*1.5%,IF(AND(N69&gt;10,N69&lt;=20),N69*2%,IF(AND(N69&gt;1,N69&lt;=10),N69*2.5%)))))))))</f>
        <v>504.27500000000003</v>
      </c>
      <c r="N84" s="53">
        <f ca="1">ROUND(M84,1)</f>
        <v>504.3</v>
      </c>
      <c r="O84" s="2008" t="s">
        <v>2873</v>
      </c>
      <c r="P84" s="2008"/>
      <c r="Q84" s="2008"/>
      <c r="R84" s="2008"/>
      <c r="S84" s="2008"/>
      <c r="T84" s="2008"/>
      <c r="U84" s="2008"/>
      <c r="V84" s="2008"/>
    </row>
    <row r="85" spans="1:26" ht="13.2">
      <c r="A85" s="378" t="s">
        <v>1827</v>
      </c>
      <c r="B85" s="379" t="s">
        <v>435</v>
      </c>
      <c r="C85" s="382">
        <f ca="1">C81-C84</f>
        <v>99786</v>
      </c>
      <c r="D85" s="375" t="s">
        <v>19</v>
      </c>
      <c r="E85" s="376"/>
      <c r="F85" s="42"/>
      <c r="G85" s="42"/>
      <c r="H85" s="999"/>
      <c r="I85" s="308"/>
      <c r="J85" s="2008"/>
      <c r="K85" s="3543"/>
      <c r="L85" s="3004" t="s">
        <v>2874</v>
      </c>
      <c r="M85" s="2994">
        <f ca="1">IF(N69&gt;1000,N69*0.1%,IF(AND(N69&gt;500,N69&lt;=1000),N69*0.5%,IF(AND(N69&gt;50,N69&lt;=500),N69*1%,IF(AND(N69&gt;1,N69&lt;=50),N69*1.5%))))</f>
        <v>100.855</v>
      </c>
      <c r="N85" s="53">
        <f ca="1">ROUND(M85,1)</f>
        <v>100.9</v>
      </c>
      <c r="O85" s="2008" t="s">
        <v>2873</v>
      </c>
      <c r="P85" s="2008"/>
      <c r="Q85" s="2008"/>
      <c r="R85" s="2008"/>
      <c r="S85" s="2008"/>
      <c r="T85" s="2008"/>
      <c r="U85" s="2008"/>
      <c r="V85" s="2008"/>
    </row>
    <row r="86" spans="1:26" ht="13.8" thickBot="1">
      <c r="A86" s="383" t="s">
        <v>1828</v>
      </c>
      <c r="B86" s="384" t="s">
        <v>436</v>
      </c>
      <c r="C86" s="385">
        <f ca="1">IF(C85&lt;=0,0,ROUND(C85*D86,0))</f>
        <v>5488</v>
      </c>
      <c r="D86" s="386">
        <f>'数据-取费表'!B41</f>
        <v>5.5000000000000007E-2</v>
      </c>
      <c r="E86" s="387"/>
      <c r="F86" s="42"/>
      <c r="G86" s="42"/>
      <c r="H86" s="999"/>
      <c r="I86" s="308"/>
      <c r="J86" s="2008"/>
      <c r="K86" s="3543"/>
      <c r="L86" s="3004" t="s">
        <v>2875</v>
      </c>
      <c r="M86" s="2994">
        <f ca="1">N69*0.5%</f>
        <v>504.27500000000003</v>
      </c>
      <c r="N86" s="53">
        <f ca="1">IF(M86&gt;0.5,0.5,ROUND(M86,0))</f>
        <v>0.5</v>
      </c>
      <c r="O86" s="2008" t="s">
        <v>2876</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543"/>
      <c r="L87" s="3004" t="s">
        <v>2877</v>
      </c>
      <c r="M87" s="2994">
        <f ca="1">IF(N69&gt;=10000,(8.25+(N69-10000)*0.01%),IF(AND(N69&gt;=8000,N69&lt;10000),(7.85+(N69-8000)*0.02%),IF(AND(N69&gt;=5000,N69&lt;8000),(6.65+(N69-5000)*0.04%),IF(AND(N69&gt;=2000,N69&lt;5000),(4.25+(PN69-2000)*0.08%),IF(AND(N69&gt;=1000,N69&lt;2000),(2.75+(N69-1000)*0.15%),IF(AND(N69&gt;=100,N69&lt;1000),(0.5+(N69-100)*0.25%),IF(AND(N69&gt;0,N69&lt;100),N69*0.5%)))))))</f>
        <v>17.3355</v>
      </c>
      <c r="N87" s="53">
        <f ca="1">ROUND(M87*0.9,1)</f>
        <v>15.6</v>
      </c>
      <c r="O87" s="2997"/>
      <c r="P87" s="308"/>
      <c r="Q87" s="2008"/>
      <c r="R87" s="2008"/>
      <c r="S87" s="2008"/>
      <c r="T87" s="2008"/>
      <c r="U87" s="2008"/>
      <c r="V87" s="2008"/>
      <c r="W87" s="289"/>
      <c r="X87" s="289"/>
      <c r="Y87" s="289"/>
      <c r="Z87" s="289"/>
    </row>
    <row r="88" spans="1:26" s="1306" customFormat="1" ht="14.4" thickBot="1">
      <c r="A88" s="3525" t="s">
        <v>437</v>
      </c>
      <c r="B88" s="3526"/>
      <c r="C88" s="3526"/>
      <c r="D88" s="3526"/>
      <c r="E88" s="3526"/>
      <c r="F88" s="3526"/>
      <c r="G88" s="3526"/>
      <c r="H88" s="3526"/>
      <c r="I88" s="1307"/>
      <c r="J88" s="2016"/>
      <c r="K88" s="3543"/>
      <c r="L88" s="3004" t="s">
        <v>2878</v>
      </c>
      <c r="M88" s="2994">
        <f ca="1">IF(N69&gt;10000,N69*0.5%,IF(AND(N69&gt;5000,N69&lt;=10000),N69*1%,IF(AND(N69&gt;1000,N69&lt;=5000),N69*2%,IF(AND(N69&gt;200,N69&lt;=1000),N69*3%,N69*5%))))</f>
        <v>504.27500000000003</v>
      </c>
      <c r="N88" s="53">
        <f ca="1">ROUND(M88,1)</f>
        <v>504.3</v>
      </c>
      <c r="O88" s="2997"/>
      <c r="P88" s="11"/>
      <c r="Q88" s="2013"/>
      <c r="R88" s="2013"/>
      <c r="S88" s="2013"/>
      <c r="T88" s="2013"/>
      <c r="U88" s="2013"/>
      <c r="V88" s="2013"/>
      <c r="W88" s="2017"/>
      <c r="X88" s="2017"/>
      <c r="Y88" s="2017"/>
      <c r="Z88" s="2017"/>
    </row>
    <row r="89" spans="1:26" s="1306" customFormat="1" ht="13.8">
      <c r="A89" s="3523" t="s">
        <v>428</v>
      </c>
      <c r="B89" s="3524"/>
      <c r="C89" s="990"/>
      <c r="D89" s="990" t="s">
        <v>429</v>
      </c>
      <c r="E89" s="388" t="s">
        <v>438</v>
      </c>
      <c r="F89" s="389"/>
      <c r="G89" s="389"/>
      <c r="H89" s="390"/>
      <c r="I89" s="1308"/>
      <c r="J89" s="2018"/>
      <c r="K89" s="3543"/>
      <c r="L89" s="3004" t="s">
        <v>27</v>
      </c>
      <c r="M89" s="2995"/>
      <c r="N89" s="53">
        <f ca="1">ROUND(SUM(N83:N88),0)</f>
        <v>1630</v>
      </c>
      <c r="O89" s="3005">
        <f ca="1">N89/N69</f>
        <v>1.6161816469188441E-2</v>
      </c>
      <c r="P89" s="2013"/>
      <c r="Q89" s="2013"/>
      <c r="R89" s="2013"/>
      <c r="S89" s="2013"/>
      <c r="T89" s="2013"/>
      <c r="U89" s="2013"/>
      <c r="V89" s="2013"/>
      <c r="W89" s="2017"/>
      <c r="X89" s="2017"/>
      <c r="Y89" s="2017"/>
      <c r="Z89" s="2017"/>
    </row>
    <row r="90" spans="1:26" s="1306" customFormat="1" ht="13.8">
      <c r="A90" s="378" t="s">
        <v>1823</v>
      </c>
      <c r="B90" s="379" t="s">
        <v>439</v>
      </c>
      <c r="C90" s="382">
        <f ca="1">ROUND(D63/(1+'数据-取费表'!C42),0)</f>
        <v>101786</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3.8">
      <c r="A91" s="378" t="s">
        <v>1829</v>
      </c>
      <c r="B91" s="345" t="s">
        <v>440</v>
      </c>
      <c r="C91" s="382">
        <f ca="1">C92+C96</f>
        <v>3070</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1830</v>
      </c>
      <c r="B92" s="373" t="s">
        <v>441</v>
      </c>
      <c r="C92" s="375">
        <f>ROUND(IF(G95="2016年5月1日后购买",C93/(1+'数据-取费表'!C30)+C94+C95,C93+C94+C95),0)</f>
        <v>2561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4">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1832</v>
      </c>
      <c r="B94" s="397" t="s">
        <v>446</v>
      </c>
      <c r="C94" s="375">
        <f>IF(F93="购房发票",ROUND(C93*H93*5%,0),0)</f>
        <v>500</v>
      </c>
      <c r="D94" s="398">
        <v>0.05</v>
      </c>
      <c r="E94" s="3482" t="s">
        <v>447</v>
      </c>
      <c r="F94" s="3481"/>
      <c r="G94" s="3481"/>
      <c r="H94" s="3522"/>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2427</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1834</v>
      </c>
      <c r="B96" s="373" t="s">
        <v>450</v>
      </c>
      <c r="C96" s="402">
        <f ca="1">ROUND(D63*D96/(1+'数据-取费表'!C42),0)</f>
        <v>509</v>
      </c>
      <c r="D96" s="403">
        <f>'数据-取费表'!B43</f>
        <v>5.000000000000001E-3</v>
      </c>
      <c r="E96" s="3514" t="s">
        <v>2426</v>
      </c>
      <c r="F96" s="3515"/>
      <c r="G96" s="3515"/>
      <c r="H96" s="3516"/>
      <c r="I96" s="1309"/>
      <c r="J96" s="2019"/>
      <c r="K96" s="2013"/>
      <c r="L96" s="2013"/>
      <c r="M96" s="2013"/>
      <c r="N96" s="2013"/>
      <c r="O96" s="2013"/>
      <c r="P96" s="2013"/>
      <c r="Q96" s="2013"/>
      <c r="R96" s="2013"/>
      <c r="S96" s="2013"/>
      <c r="T96" s="2013"/>
      <c r="U96" s="2013"/>
      <c r="V96" s="2013"/>
      <c r="W96" s="2017"/>
      <c r="X96" s="2017"/>
      <c r="Y96" s="2017"/>
      <c r="Z96" s="2017"/>
    </row>
    <row r="97" spans="1:26" s="1306" customFormat="1" ht="13.8">
      <c r="A97" s="1597" t="s">
        <v>1835</v>
      </c>
      <c r="B97" s="379" t="s">
        <v>451</v>
      </c>
      <c r="C97" s="382">
        <f ca="1">C90-C91</f>
        <v>98716</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7" t="s">
        <v>1836</v>
      </c>
      <c r="B98" s="379" t="s">
        <v>452</v>
      </c>
      <c r="C98" s="404">
        <f ca="1">IF(C97&lt;=0,0,C97/C91)</f>
        <v>32.155048859934851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6" thickBot="1">
      <c r="A99" s="1598" t="s">
        <v>1837</v>
      </c>
      <c r="B99" s="384" t="s">
        <v>453</v>
      </c>
      <c r="C99" s="405">
        <f ca="1">ROUND(IF(C97&lt;=0,0,IF(C98&gt;=200%,C97*60%-C91*35%,IF(C98&gt;=100%,C97*50%-C91*15%,IF(C98&gt;=50%,C97*40%-C91*5%,IF(C98&lt;50%,C97*30%,0))))),0)</f>
        <v>58155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4.4" thickBot="1">
      <c r="A101" s="3525" t="s">
        <v>454</v>
      </c>
      <c r="B101" s="3526"/>
      <c r="C101" s="3526"/>
      <c r="D101" s="3526"/>
      <c r="E101" s="3526"/>
      <c r="F101" s="3526"/>
      <c r="G101" s="3526"/>
      <c r="H101" s="3526"/>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3.8">
      <c r="A102" s="3523" t="s">
        <v>428</v>
      </c>
      <c r="B102" s="3524"/>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3.8">
      <c r="A103" s="378" t="s">
        <v>1823</v>
      </c>
      <c r="B103" s="379" t="s">
        <v>439</v>
      </c>
      <c r="C103" s="382">
        <f ca="1">ROUND(D63/(1+'数据-取费表'!C42),0)</f>
        <v>101786</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3.8">
      <c r="A104" s="378" t="s">
        <v>1829</v>
      </c>
      <c r="B104" s="345" t="s">
        <v>440</v>
      </c>
      <c r="C104" s="382">
        <f ca="1">IF(H106="仅含出让金",C105+C108+C109+C110+C111+C112,C105+C109+C110+C111+C112)</f>
        <v>1199</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3.8">
      <c r="A105" s="392" t="s">
        <v>1830</v>
      </c>
      <c r="B105" s="373" t="s">
        <v>455</v>
      </c>
      <c r="C105" s="402">
        <f>C106+C107</f>
        <v>572</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26.4">
      <c r="A106" s="392" t="s">
        <v>1831</v>
      </c>
      <c r="B106" s="373" t="s">
        <v>456</v>
      </c>
      <c r="C106" s="413">
        <v>555</v>
      </c>
      <c r="D106" s="403"/>
      <c r="E106" s="414" t="s">
        <v>457</v>
      </c>
      <c r="F106" s="982"/>
      <c r="G106" s="415" t="s">
        <v>458</v>
      </c>
      <c r="H106" s="416" t="s">
        <v>2437</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3.8">
      <c r="A107" s="392" t="s">
        <v>1832</v>
      </c>
      <c r="B107" s="373" t="s">
        <v>448</v>
      </c>
      <c r="C107" s="402">
        <f>ROUND(C106*D107,0)</f>
        <v>17</v>
      </c>
      <c r="D107" s="403">
        <f>'数据-取费表'!B48+'数据-取费表'!B49</f>
        <v>3.0499999999999999E-2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3.8">
      <c r="A108" s="392" t="s">
        <v>1834</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599" t="s">
        <v>1838</v>
      </c>
      <c r="B109" s="373" t="s">
        <v>461</v>
      </c>
      <c r="C109" s="402">
        <f>IF(H109="——",IF(F1="现房",'剩余法-现房'!C18,'剩余法-待开发'!C18),I109)</f>
        <v>55</v>
      </c>
      <c r="D109" s="403"/>
      <c r="E109" s="3517" t="s">
        <v>462</v>
      </c>
      <c r="F109" s="3515"/>
      <c r="G109" s="3515"/>
      <c r="H109" s="1921" t="s">
        <v>2277</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599" t="s">
        <v>1839</v>
      </c>
      <c r="B110" s="373" t="s">
        <v>463</v>
      </c>
      <c r="C110" s="402">
        <f>ROUND((C105+C108+C109)*D110,0)</f>
        <v>63</v>
      </c>
      <c r="D110" s="403">
        <v>0.1</v>
      </c>
      <c r="E110" s="3517" t="s">
        <v>464</v>
      </c>
      <c r="F110" s="3515"/>
      <c r="G110" s="3515"/>
      <c r="H110" s="3516"/>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599" t="s">
        <v>1840</v>
      </c>
      <c r="B111" s="373" t="s">
        <v>450</v>
      </c>
      <c r="C111" s="402">
        <f ca="1">ROUND(D63*D111/(1+'数据-取费表'!C42),0)</f>
        <v>509</v>
      </c>
      <c r="D111" s="403">
        <f>'数据-取费表'!B43</f>
        <v>5.000000000000001E-3</v>
      </c>
      <c r="E111" s="3514" t="s">
        <v>2426</v>
      </c>
      <c r="F111" s="3515"/>
      <c r="G111" s="3515"/>
      <c r="H111" s="3516"/>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599" t="s">
        <v>1841</v>
      </c>
      <c r="B112" s="373" t="s">
        <v>465</v>
      </c>
      <c r="C112" s="402">
        <f>ROUND(C108*D112,0)</f>
        <v>0</v>
      </c>
      <c r="D112" s="403">
        <v>0.2</v>
      </c>
      <c r="E112" s="3517" t="s">
        <v>2451</v>
      </c>
      <c r="F112" s="3515"/>
      <c r="G112" s="3515"/>
      <c r="H112" s="3516"/>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3.8">
      <c r="A113" s="1597" t="s">
        <v>1835</v>
      </c>
      <c r="B113" s="379" t="s">
        <v>451</v>
      </c>
      <c r="C113" s="382">
        <f ca="1">ROUND(C103-C104,0)</f>
        <v>100587</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7" t="s">
        <v>1836</v>
      </c>
      <c r="B114" s="379" t="s">
        <v>452</v>
      </c>
      <c r="C114" s="404">
        <f ca="1">IF(C113&lt;=0,0,C113/C104)</f>
        <v>83.892410341951631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6" thickBot="1">
      <c r="A115" s="1598" t="s">
        <v>1837</v>
      </c>
      <c r="B115" s="384" t="s">
        <v>453</v>
      </c>
      <c r="C115" s="405">
        <f ca="1">ROUND(IF(C113&lt;=0,0,IF(C114&gt;=200%,C113*60%-C104*35%,IF(C114&gt;=100%,C113*50%-C104*15%,IF(C114&gt;=50%,C113*40%-C104*5%,IF(C114&lt;50%,C113*30%,0))))),0)</f>
        <v>59933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5" customWidth="1"/>
    <col min="2" max="2" width="10.77734375" style="1635" customWidth="1"/>
    <col min="3" max="4" width="11.6640625" style="1635" customWidth="1"/>
    <col min="5" max="5" width="6.6640625" style="1635" customWidth="1"/>
    <col min="6" max="16384" width="9" style="1635"/>
  </cols>
  <sheetData>
    <row r="36" spans="1:9">
      <c r="A36" s="1634" t="s">
        <v>1901</v>
      </c>
      <c r="B36" s="1634" t="s">
        <v>1902</v>
      </c>
    </row>
    <row r="37" spans="1:9" ht="28.5" customHeight="1">
      <c r="A37" s="1634"/>
      <c r="B37" s="3310" t="str">
        <f>项目基本情况!B1</f>
        <v>北京市经济技术开发区河西区X78C2地块B4综合性商业金融服务业用地出让国有建设用地使用权抵押价格预评估</v>
      </c>
      <c r="C37" s="3310"/>
      <c r="D37" s="3310"/>
      <c r="E37" s="3310"/>
      <c r="F37" s="3310"/>
      <c r="G37" s="3310"/>
      <c r="H37" s="3310"/>
      <c r="I37" s="3310"/>
    </row>
    <row r="38" spans="1:9">
      <c r="A38" s="1636"/>
      <c r="B38" s="1636"/>
    </row>
    <row r="39" spans="1:9">
      <c r="A39" s="1634" t="s">
        <v>1901</v>
      </c>
      <c r="B39" s="1634" t="s">
        <v>2044</v>
      </c>
    </row>
    <row r="40" spans="1:9">
      <c r="A40" s="1634"/>
      <c r="B40" s="1634" t="str">
        <f>项目基本情况!B5</f>
        <v>北京尚恒锦祥商业运营管理有限公司</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tabSelected="1" view="pageBreakPreview" topLeftCell="A2" zoomScale="80" zoomScaleNormal="95" zoomScaleSheetLayoutView="80" workbookViewId="0">
      <selection activeCell="F59" sqref="F59:F65"/>
    </sheetView>
  </sheetViews>
  <sheetFormatPr defaultColWidth="9" defaultRowHeight="13.8"/>
  <cols>
    <col min="1" max="1" width="15.6640625" style="1329" customWidth="1"/>
    <col min="2" max="2" width="15.77734375" style="1329" customWidth="1"/>
    <col min="3" max="3" width="22.33203125" style="1329" customWidth="1"/>
    <col min="4" max="4" width="12.21875" style="1329" customWidth="1"/>
    <col min="5" max="5" width="16.109375" style="1329" customWidth="1"/>
    <col min="6" max="6" width="12.21875" style="1329" customWidth="1"/>
    <col min="7" max="7" width="15.6640625" style="1329" customWidth="1"/>
    <col min="8" max="8" width="12.21875" style="1329" customWidth="1"/>
    <col min="9" max="9" width="15.66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128834</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8309</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31986</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2132</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1">
      <c r="A6" s="509" t="s">
        <v>521</v>
      </c>
      <c r="B6" s="510"/>
      <c r="C6" s="3568" t="s">
        <v>522</v>
      </c>
      <c r="D6" s="3569"/>
      <c r="E6" s="3568" t="s">
        <v>523</v>
      </c>
      <c r="F6" s="3569"/>
      <c r="G6" s="3568" t="s">
        <v>524</v>
      </c>
      <c r="H6" s="3569"/>
      <c r="I6" s="3568" t="s">
        <v>525</v>
      </c>
      <c r="J6" s="3569"/>
      <c r="K6" s="511" t="s">
        <v>526</v>
      </c>
      <c r="L6" s="2113"/>
      <c r="M6" s="2112"/>
      <c r="N6" s="2112"/>
      <c r="O6" s="2114"/>
      <c r="P6" s="3570" t="s">
        <v>527</v>
      </c>
      <c r="Q6" s="3571"/>
      <c r="R6" s="3576" t="s">
        <v>523</v>
      </c>
      <c r="S6" s="3577"/>
      <c r="T6" s="3576" t="s">
        <v>524</v>
      </c>
      <c r="U6" s="3577"/>
      <c r="V6" s="3563" t="s">
        <v>525</v>
      </c>
      <c r="W6" s="3563"/>
      <c r="X6" s="1548"/>
      <c r="Y6" s="3576" t="s">
        <v>527</v>
      </c>
      <c r="Z6" s="3577"/>
      <c r="AA6" s="3565" t="s">
        <v>523</v>
      </c>
      <c r="AB6" s="3566" t="s">
        <v>524</v>
      </c>
      <c r="AC6" s="3565" t="s">
        <v>525</v>
      </c>
    </row>
    <row r="7" spans="1:30" ht="42" customHeight="1">
      <c r="A7" s="512"/>
      <c r="B7" s="513"/>
      <c r="C7" s="3584" t="s">
        <v>2922</v>
      </c>
      <c r="D7" s="3585"/>
      <c r="E7" s="3584" t="str">
        <f>土地案例!A2</f>
        <v>北京经济技术开发区南海子郊野公园B片区B-04/*B-06/B-11地块F3其他类多功能用地</v>
      </c>
      <c r="F7" s="3585"/>
      <c r="G7" s="3584" t="str">
        <f>土地案例!A3</f>
        <v>北京经济技术开发区路东区E16街区E16C-3、E16C-5、E16S-1地块</v>
      </c>
      <c r="H7" s="3585"/>
      <c r="I7" s="3588" t="str">
        <f>土地案例!A4</f>
        <v>北京经济技术开发区路东区C14C-1、C14C-2、C14S-1地块B4综合性商业金融服务业用地及S41公用停车场用地</v>
      </c>
      <c r="J7" s="3585"/>
      <c r="K7" s="511"/>
      <c r="L7" s="2113"/>
      <c r="M7" s="2112"/>
      <c r="N7" s="2112"/>
      <c r="O7" s="2114"/>
      <c r="P7" s="3572"/>
      <c r="Q7" s="3573"/>
      <c r="R7" s="3578"/>
      <c r="S7" s="3579"/>
      <c r="T7" s="3578"/>
      <c r="U7" s="3579"/>
      <c r="V7" s="3563"/>
      <c r="W7" s="3563"/>
      <c r="X7" s="1548"/>
      <c r="Y7" s="3578"/>
      <c r="Z7" s="3579"/>
      <c r="AA7" s="3566"/>
      <c r="AB7" s="3566"/>
      <c r="AC7" s="3566"/>
    </row>
    <row r="8" spans="1:30" ht="21.6" thickBot="1">
      <c r="A8" s="512"/>
      <c r="B8" s="513"/>
      <c r="C8" s="3586" t="s">
        <v>2926</v>
      </c>
      <c r="D8" s="3587"/>
      <c r="E8" s="3586"/>
      <c r="F8" s="3587"/>
      <c r="G8" s="3582" t="s">
        <v>2926</v>
      </c>
      <c r="H8" s="3583"/>
      <c r="I8" s="3582" t="s">
        <v>2926</v>
      </c>
      <c r="J8" s="3583"/>
      <c r="K8" s="511" t="s">
        <v>528</v>
      </c>
      <c r="L8" s="2113"/>
      <c r="M8" s="2112"/>
      <c r="N8" s="2112"/>
      <c r="O8" s="2114"/>
      <c r="P8" s="3574"/>
      <c r="Q8" s="3575"/>
      <c r="R8" s="3578"/>
      <c r="S8" s="3579"/>
      <c r="T8" s="3580"/>
      <c r="U8" s="3581"/>
      <c r="V8" s="3563"/>
      <c r="W8" s="3563"/>
      <c r="X8" s="1548"/>
      <c r="Y8" s="3580"/>
      <c r="Z8" s="3581"/>
      <c r="AA8" s="3567"/>
      <c r="AB8" s="3567"/>
      <c r="AC8" s="3567"/>
    </row>
    <row r="9" spans="1:30" s="1212" customFormat="1" ht="21.6" thickBot="1">
      <c r="A9" s="2861"/>
      <c r="B9" s="2868" t="s">
        <v>529</v>
      </c>
      <c r="C9" s="2860">
        <f>'数据-取费表'!B2</f>
        <v>44027</v>
      </c>
      <c r="D9" s="517">
        <v>100</v>
      </c>
      <c r="E9" s="518" t="str">
        <f>土地案例!AA2</f>
        <v>2019-05-28</v>
      </c>
      <c r="F9" s="519">
        <f>SUMIF(72:72,YEAR(E9)&amp;"-"&amp;INT((MONTH(E9)+2)/3),73:73)</f>
        <v>98.999999999999986</v>
      </c>
      <c r="G9" s="520" t="str">
        <f>土地案例!AA3</f>
        <v>2018-06-14</v>
      </c>
      <c r="H9" s="517">
        <f>SUMIF(72:72,YEAR(G9)&amp;"-"&amp;INT((MONTH(G9)+2)/3),73:73)</f>
        <v>98.199999999999974</v>
      </c>
      <c r="I9" s="520" t="str">
        <f>土地案例!AA4</f>
        <v>2017-08-08</v>
      </c>
      <c r="J9" s="517">
        <f>SUMIF(72:72,YEAR(I9)&amp;"-"&amp;INT((MONTH(I9)+2)/3),73:73)</f>
        <v>97.599999999999966</v>
      </c>
      <c r="K9" s="521"/>
      <c r="L9" s="2115"/>
      <c r="M9" s="2112"/>
      <c r="N9" s="2112"/>
      <c r="O9" s="2116"/>
      <c r="P9" s="3594" t="s">
        <v>530</v>
      </c>
      <c r="Q9" s="3596"/>
      <c r="R9" s="1549" t="s">
        <v>8</v>
      </c>
      <c r="S9" s="1550">
        <f t="shared" ref="S9:S17" si="0">F9</f>
        <v>98.999999999999986</v>
      </c>
      <c r="T9" s="1549" t="s">
        <v>8</v>
      </c>
      <c r="U9" s="1550">
        <f t="shared" ref="U9:U17" si="1">H9</f>
        <v>98.199999999999974</v>
      </c>
      <c r="V9" s="1549" t="s">
        <v>8</v>
      </c>
      <c r="W9" s="1550">
        <f t="shared" ref="W9:W17" si="2">J9</f>
        <v>97.599999999999966</v>
      </c>
      <c r="X9" s="1551"/>
      <c r="Y9" s="3594" t="s">
        <v>530</v>
      </c>
      <c r="Z9" s="3595"/>
      <c r="AA9" s="1552">
        <f>D9/F9</f>
        <v>1.0101010101010102</v>
      </c>
      <c r="AB9" s="1552">
        <f>D9/H9</f>
        <v>1.0183299389002038</v>
      </c>
      <c r="AC9" s="1552">
        <f>D9/J9</f>
        <v>1.0245901639344266</v>
      </c>
    </row>
    <row r="10" spans="1:30" s="1212" customFormat="1" ht="21.6"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594" t="s">
        <v>533</v>
      </c>
      <c r="Q10" s="3595"/>
      <c r="R10" s="1549" t="s">
        <v>8</v>
      </c>
      <c r="S10" s="1550">
        <f t="shared" si="0"/>
        <v>100</v>
      </c>
      <c r="T10" s="1549" t="s">
        <v>8</v>
      </c>
      <c r="U10" s="1550">
        <f t="shared" si="1"/>
        <v>100</v>
      </c>
      <c r="V10" s="1549" t="s">
        <v>8</v>
      </c>
      <c r="W10" s="1550">
        <f t="shared" si="2"/>
        <v>100</v>
      </c>
      <c r="X10" s="1551"/>
      <c r="Y10" s="3594" t="s">
        <v>533</v>
      </c>
      <c r="Z10" s="3595"/>
      <c r="AA10" s="1552">
        <f t="shared" ref="AA10:AA47" si="3">D10/F10</f>
        <v>1</v>
      </c>
      <c r="AB10" s="1552">
        <f t="shared" ref="AB10:AB47" si="4">D10/H10</f>
        <v>1</v>
      </c>
      <c r="AC10" s="1552">
        <f t="shared" ref="AC10:AC47" si="5">D10/J10</f>
        <v>1</v>
      </c>
    </row>
    <row r="11" spans="1:30" s="1212" customFormat="1" ht="21">
      <c r="A11" s="2863"/>
      <c r="B11" s="2870" t="s">
        <v>2752</v>
      </c>
      <c r="C11" s="2858" t="s">
        <v>3297</v>
      </c>
      <c r="D11" s="251">
        <v>100</v>
      </c>
      <c r="E11" s="2858" t="s">
        <v>3235</v>
      </c>
      <c r="F11" s="251">
        <f>SUMIF(77:77,E11,78:78)-SUMIF(77:77,C11,78:78)+100</f>
        <v>98</v>
      </c>
      <c r="G11" s="2858" t="s">
        <v>3297</v>
      </c>
      <c r="H11" s="251">
        <f>SUMIF(77:77,G11,78:78)-SUMIF(77:77,C11,78:78)+100</f>
        <v>100</v>
      </c>
      <c r="I11" s="2858" t="s">
        <v>3297</v>
      </c>
      <c r="J11" s="251">
        <f>SUMIF(77:77,I11,78:78)-SUMIF(77:77,C11,78:78)+100</f>
        <v>100</v>
      </c>
      <c r="K11" s="521"/>
      <c r="L11" s="2115"/>
      <c r="M11" s="2112"/>
      <c r="N11" s="2112"/>
      <c r="O11" s="2117"/>
      <c r="P11" s="3562" t="s">
        <v>535</v>
      </c>
      <c r="Q11" s="1143" t="str">
        <f t="shared" ref="Q11:Q17" si="6">B11</f>
        <v>用途</v>
      </c>
      <c r="R11" s="1549" t="s">
        <v>8</v>
      </c>
      <c r="S11" s="1550">
        <f t="shared" si="0"/>
        <v>98</v>
      </c>
      <c r="T11" s="1549" t="s">
        <v>8</v>
      </c>
      <c r="U11" s="1550">
        <f t="shared" si="1"/>
        <v>100</v>
      </c>
      <c r="V11" s="1549" t="s">
        <v>8</v>
      </c>
      <c r="W11" s="1550">
        <f t="shared" si="2"/>
        <v>100</v>
      </c>
      <c r="X11" s="1551"/>
      <c r="Y11" s="3504" t="s">
        <v>536</v>
      </c>
      <c r="Z11" s="1142" t="str">
        <f t="shared" ref="Z11:Z17" si="7">Q11</f>
        <v>用途</v>
      </c>
      <c r="AA11" s="1552">
        <f t="shared" si="3"/>
        <v>1.0204081632653061</v>
      </c>
      <c r="AB11" s="1552">
        <f t="shared" si="4"/>
        <v>1</v>
      </c>
      <c r="AC11" s="1552">
        <f t="shared" si="5"/>
        <v>1</v>
      </c>
    </row>
    <row r="12" spans="1:30" s="1330" customFormat="1" ht="28.8">
      <c r="A12" s="2864"/>
      <c r="B12" s="2869" t="s">
        <v>2753</v>
      </c>
      <c r="C12" s="906"/>
      <c r="D12" s="252">
        <v>100</v>
      </c>
      <c r="E12" s="526"/>
      <c r="F12" s="252">
        <f>ROUND(100/'数据-取费表'!G16,0)</f>
        <v>101</v>
      </c>
      <c r="G12" s="527"/>
      <c r="H12" s="252">
        <f>ROUND(100/'数据-取费表'!G16,0)</f>
        <v>101</v>
      </c>
      <c r="I12" s="527"/>
      <c r="J12" s="252">
        <f>ROUND(100/'数据-取费表'!G16,0)</f>
        <v>101</v>
      </c>
      <c r="K12" s="528"/>
      <c r="L12" s="2118"/>
      <c r="M12" s="2112"/>
      <c r="N12" s="2112"/>
      <c r="O12" s="2119"/>
      <c r="P12" s="3562"/>
      <c r="Q12" s="1143" t="str">
        <f t="shared" si="6"/>
        <v>土地使用年限（年）</v>
      </c>
      <c r="R12" s="1549" t="s">
        <v>8</v>
      </c>
      <c r="S12" s="1550">
        <f t="shared" si="0"/>
        <v>101</v>
      </c>
      <c r="T12" s="1549" t="s">
        <v>8</v>
      </c>
      <c r="U12" s="1550">
        <f t="shared" si="1"/>
        <v>101</v>
      </c>
      <c r="V12" s="1549" t="s">
        <v>8</v>
      </c>
      <c r="W12" s="1550">
        <f t="shared" si="2"/>
        <v>101</v>
      </c>
      <c r="X12" s="1551"/>
      <c r="Y12" s="3504"/>
      <c r="Z12" s="1142" t="str">
        <f t="shared" si="7"/>
        <v>土地使用年限（年）</v>
      </c>
      <c r="AA12" s="1552">
        <f t="shared" si="3"/>
        <v>0.99009900990099009</v>
      </c>
      <c r="AB12" s="1552">
        <f t="shared" si="4"/>
        <v>0.99009900990099009</v>
      </c>
      <c r="AC12" s="1552">
        <f t="shared" si="5"/>
        <v>0.99009900990099009</v>
      </c>
    </row>
    <row r="13" spans="1:30" ht="21">
      <c r="A13" s="2865"/>
      <c r="B13" s="2869" t="s">
        <v>2754</v>
      </c>
      <c r="C13" s="3308">
        <f>'数据-汇总表'!I4</f>
        <v>1.97</v>
      </c>
      <c r="D13" s="252">
        <v>100</v>
      </c>
      <c r="E13" s="530">
        <v>2</v>
      </c>
      <c r="F13" s="252">
        <f>LOOKUP(E13,82:82,83:83)-LOOKUP(C13,82:82,83:83)+100</f>
        <v>99</v>
      </c>
      <c r="G13" s="531">
        <f>土地案例!L3</f>
        <v>3.7</v>
      </c>
      <c r="H13" s="252">
        <f>LOOKUP(G13,82:82,83:83)-LOOKUP(C13,82:82,83:83)+100</f>
        <v>98</v>
      </c>
      <c r="I13" s="530">
        <f>土地案例!L4</f>
        <v>3.99</v>
      </c>
      <c r="J13" s="252">
        <f>LOOKUP(I13,82:82,83:83)-LOOKUP(C13,82:82,83:83)+100</f>
        <v>98</v>
      </c>
      <c r="K13" s="532">
        <v>1</v>
      </c>
      <c r="L13" s="2120"/>
      <c r="M13" s="2112"/>
      <c r="N13" s="2112"/>
      <c r="O13" s="2121"/>
      <c r="P13" s="3562"/>
      <c r="Q13" s="1143" t="str">
        <f t="shared" si="6"/>
        <v>容积率</v>
      </c>
      <c r="R13" s="1549" t="s">
        <v>8</v>
      </c>
      <c r="S13" s="1550">
        <f t="shared" si="0"/>
        <v>99</v>
      </c>
      <c r="T13" s="1549" t="s">
        <v>8</v>
      </c>
      <c r="U13" s="1550">
        <f t="shared" si="1"/>
        <v>98</v>
      </c>
      <c r="V13" s="1549" t="s">
        <v>8</v>
      </c>
      <c r="W13" s="1550">
        <f t="shared" si="2"/>
        <v>98</v>
      </c>
      <c r="X13" s="1551"/>
      <c r="Y13" s="3504"/>
      <c r="Z13" s="1142" t="str">
        <f t="shared" si="7"/>
        <v>容积率</v>
      </c>
      <c r="AA13" s="1552">
        <f t="shared" si="3"/>
        <v>1.0101010101010102</v>
      </c>
      <c r="AB13" s="1552">
        <f t="shared" si="4"/>
        <v>1.0204081632653061</v>
      </c>
      <c r="AC13" s="1552">
        <f t="shared" si="5"/>
        <v>1.0204081632653061</v>
      </c>
    </row>
    <row r="14" spans="1:30" s="1212" customFormat="1" ht="21">
      <c r="A14" s="2862"/>
      <c r="B14" s="2871" t="s">
        <v>2755</v>
      </c>
      <c r="C14" s="3183"/>
      <c r="D14" s="535">
        <v>100</v>
      </c>
      <c r="E14" s="3186"/>
      <c r="F14" s="252">
        <f>SUMIF(84:84,E14,85:85)-SUMIF(84:84,C14,85:85)+100</f>
        <v>100</v>
      </c>
      <c r="G14" s="3186"/>
      <c r="H14" s="252">
        <f>SUMIF(84:84,G14,85:85)-SUMIF(84:84,C14,85:85)+100</f>
        <v>100</v>
      </c>
      <c r="I14" s="3186"/>
      <c r="J14" s="252">
        <f>SUMIF(84:84,I14,85:85)-SUMIF(84:84,C14,85:85)+100</f>
        <v>100</v>
      </c>
      <c r="K14" s="528"/>
      <c r="L14" s="2115"/>
      <c r="M14" s="2112"/>
      <c r="N14" s="2112"/>
      <c r="O14" s="2117"/>
      <c r="P14" s="3562"/>
      <c r="Q14" s="1143" t="str">
        <f t="shared" si="6"/>
        <v>配建</v>
      </c>
      <c r="R14" s="1549" t="s">
        <v>8</v>
      </c>
      <c r="S14" s="1550">
        <f t="shared" si="0"/>
        <v>100</v>
      </c>
      <c r="T14" s="1549" t="s">
        <v>8</v>
      </c>
      <c r="U14" s="1550">
        <f t="shared" si="1"/>
        <v>100</v>
      </c>
      <c r="V14" s="1549" t="s">
        <v>8</v>
      </c>
      <c r="W14" s="1550">
        <f t="shared" si="2"/>
        <v>100</v>
      </c>
      <c r="X14" s="1551"/>
      <c r="Y14" s="3504"/>
      <c r="Z14" s="1142" t="str">
        <f t="shared" si="7"/>
        <v>配建</v>
      </c>
      <c r="AA14" s="1552">
        <f>D14/F14</f>
        <v>1</v>
      </c>
      <c r="AB14" s="1552">
        <f>D14/H14</f>
        <v>1</v>
      </c>
      <c r="AC14" s="1552">
        <f>D14/J14</f>
        <v>1</v>
      </c>
    </row>
    <row r="15" spans="1:30" ht="21">
      <c r="A15" s="2866"/>
      <c r="B15" s="3184" t="s">
        <v>3052</v>
      </c>
      <c r="C15" s="3185" t="s">
        <v>3286</v>
      </c>
      <c r="D15" s="537">
        <v>100</v>
      </c>
      <c r="E15" s="3186" t="s">
        <v>3284</v>
      </c>
      <c r="F15" s="252">
        <f>SUMIF(86:86,E15,87:87)-SUMIF(86:86,C15,87:87)+100</f>
        <v>120</v>
      </c>
      <c r="G15" s="3185" t="s">
        <v>3286</v>
      </c>
      <c r="H15" s="537">
        <f>SUMIF(86:86,G15,87:87)-SUMIF(86:86,C15,87:87)+100</f>
        <v>100</v>
      </c>
      <c r="I15" s="3185" t="s">
        <v>3286</v>
      </c>
      <c r="J15" s="537">
        <f>SUMIF(86:86,I15,87:87)-SUMIF(86:86,C15,87:87)+100</f>
        <v>100</v>
      </c>
      <c r="K15" s="528"/>
      <c r="L15" s="2122"/>
      <c r="M15" s="2112"/>
      <c r="N15" s="2112"/>
      <c r="O15" s="2121"/>
      <c r="P15" s="3562"/>
      <c r="Q15" s="1143" t="str">
        <f t="shared" si="6"/>
        <v>自持</v>
      </c>
      <c r="R15" s="1549" t="s">
        <v>8</v>
      </c>
      <c r="S15" s="1550">
        <f t="shared" si="0"/>
        <v>120</v>
      </c>
      <c r="T15" s="1549" t="s">
        <v>8</v>
      </c>
      <c r="U15" s="1550">
        <f t="shared" si="1"/>
        <v>100</v>
      </c>
      <c r="V15" s="1549" t="s">
        <v>8</v>
      </c>
      <c r="W15" s="1550">
        <f t="shared" si="2"/>
        <v>100</v>
      </c>
      <c r="X15" s="1551"/>
      <c r="Y15" s="3504"/>
      <c r="Z15" s="1142" t="str">
        <f t="shared" si="7"/>
        <v>自持</v>
      </c>
      <c r="AA15" s="1552">
        <f>D15/F15</f>
        <v>0.83333333333333337</v>
      </c>
      <c r="AB15" s="1552">
        <f>D15/H15</f>
        <v>1</v>
      </c>
      <c r="AC15" s="1552">
        <f>D15/J15</f>
        <v>1</v>
      </c>
    </row>
    <row r="16" spans="1:30" ht="21.6" thickBot="1">
      <c r="A16" s="2867"/>
      <c r="B16" s="2873"/>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562"/>
      <c r="Q16" s="1143">
        <f t="shared" si="6"/>
        <v>0</v>
      </c>
      <c r="R16" s="1549" t="s">
        <v>8</v>
      </c>
      <c r="S16" s="1550">
        <f t="shared" si="0"/>
        <v>100</v>
      </c>
      <c r="T16" s="1549" t="s">
        <v>8</v>
      </c>
      <c r="U16" s="1550">
        <f t="shared" si="1"/>
        <v>100</v>
      </c>
      <c r="V16" s="1549" t="s">
        <v>8</v>
      </c>
      <c r="W16" s="1550">
        <f t="shared" si="2"/>
        <v>100</v>
      </c>
      <c r="X16" s="1551"/>
      <c r="Y16" s="3504"/>
      <c r="Z16" s="1142">
        <f t="shared" si="7"/>
        <v>0</v>
      </c>
      <c r="AA16" s="1552">
        <f>D16/F16</f>
        <v>1</v>
      </c>
      <c r="AB16" s="1552">
        <f>D16/H16</f>
        <v>1</v>
      </c>
      <c r="AC16" s="1552">
        <f>D16/J16</f>
        <v>1</v>
      </c>
    </row>
    <row r="17" spans="1:29" ht="21">
      <c r="A17" s="2859" t="s">
        <v>2750</v>
      </c>
      <c r="B17" s="575" t="s">
        <v>295</v>
      </c>
      <c r="C17" s="545">
        <f>估价对象房地状况!C15</f>
        <v>0</v>
      </c>
      <c r="D17" s="548">
        <v>100</v>
      </c>
      <c r="E17" s="3200"/>
      <c r="F17" s="546">
        <f>SUMIF(90:90,E18,91:91)-SUMIF(90:90,C18,91:91)+100</f>
        <v>100</v>
      </c>
      <c r="G17" s="3200"/>
      <c r="H17" s="546">
        <f>SUMIF(90:90,G18,91:91)-SUMIF(90:90,C18,91:91)+100</f>
        <v>100</v>
      </c>
      <c r="I17" s="3200"/>
      <c r="J17" s="546">
        <f>SUMIF(90:90,I18,91:91)-SUMIF(90:90,C18,91:91)+100</f>
        <v>100</v>
      </c>
      <c r="K17" s="3217"/>
      <c r="L17" s="2122"/>
      <c r="M17" s="2112"/>
      <c r="N17" s="2112"/>
      <c r="O17" s="2121"/>
      <c r="P17" s="3597" t="s">
        <v>540</v>
      </c>
      <c r="Q17" s="1553" t="str">
        <f t="shared" si="6"/>
        <v>居住社区成熟度</v>
      </c>
      <c r="R17" s="1554" t="s">
        <v>8</v>
      </c>
      <c r="S17" s="1555">
        <f t="shared" si="0"/>
        <v>100</v>
      </c>
      <c r="T17" s="1554" t="s">
        <v>8</v>
      </c>
      <c r="U17" s="1555">
        <f t="shared" si="1"/>
        <v>100</v>
      </c>
      <c r="V17" s="1554" t="s">
        <v>8</v>
      </c>
      <c r="W17" s="1555">
        <f t="shared" si="2"/>
        <v>100</v>
      </c>
      <c r="X17" s="1548"/>
      <c r="Y17" s="3597" t="s">
        <v>540</v>
      </c>
      <c r="Z17" s="1556" t="str">
        <f t="shared" si="7"/>
        <v>居住社区成熟度</v>
      </c>
      <c r="AA17" s="1557">
        <f t="shared" si="3"/>
        <v>1</v>
      </c>
      <c r="AB17" s="1557">
        <f t="shared" si="4"/>
        <v>1</v>
      </c>
      <c r="AC17" s="1557">
        <f t="shared" si="5"/>
        <v>1</v>
      </c>
    </row>
    <row r="18" spans="1:29" ht="21">
      <c r="A18" s="529"/>
      <c r="B18" s="550"/>
      <c r="C18" s="551" t="s">
        <v>3044</v>
      </c>
      <c r="D18" s="554"/>
      <c r="E18" s="555" t="s">
        <v>3274</v>
      </c>
      <c r="F18" s="552"/>
      <c r="G18" s="553" t="s">
        <v>3056</v>
      </c>
      <c r="H18" s="556"/>
      <c r="I18" s="555" t="s">
        <v>3056</v>
      </c>
      <c r="J18" s="552"/>
      <c r="K18" s="528"/>
      <c r="L18" s="2122"/>
      <c r="M18" s="2112"/>
      <c r="N18" s="2112"/>
      <c r="O18" s="2121"/>
      <c r="P18" s="3598"/>
      <c r="Q18" s="1553"/>
      <c r="R18" s="1554"/>
      <c r="S18" s="1555"/>
      <c r="T18" s="1554"/>
      <c r="U18" s="1555"/>
      <c r="V18" s="1554"/>
      <c r="W18" s="1555"/>
      <c r="X18" s="1548"/>
      <c r="Y18" s="3598"/>
      <c r="Z18" s="1556"/>
      <c r="AA18" s="1557">
        <v>1</v>
      </c>
      <c r="AB18" s="1557">
        <v>1</v>
      </c>
      <c r="AC18" s="1557">
        <v>1</v>
      </c>
    </row>
    <row r="19" spans="1:29" ht="73.2"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8"/>
      <c r="H19" s="562">
        <f>SUMIF(92:92,G20,93:93)-SUMIF(92:92,C20,93:93)+100</f>
        <v>100</v>
      </c>
      <c r="I19" s="3288"/>
      <c r="J19" s="562">
        <f>SUMIF(92:92,I20,93:93)-SUMIF(92:92,C20,93:93)+100</f>
        <v>100</v>
      </c>
      <c r="K19" s="532">
        <v>3</v>
      </c>
      <c r="L19" s="2122"/>
      <c r="M19" s="2112"/>
      <c r="N19" s="2112"/>
      <c r="O19" s="2121"/>
      <c r="P19" s="3598"/>
      <c r="Q19" s="1553" t="str">
        <f>B19</f>
        <v>商业繁华度</v>
      </c>
      <c r="R19" s="1554" t="s">
        <v>8</v>
      </c>
      <c r="S19" s="1555">
        <f>F19</f>
        <v>100</v>
      </c>
      <c r="T19" s="1554" t="s">
        <v>8</v>
      </c>
      <c r="U19" s="1555">
        <f>H19</f>
        <v>100</v>
      </c>
      <c r="V19" s="1554" t="s">
        <v>8</v>
      </c>
      <c r="W19" s="1555">
        <f>J19</f>
        <v>100</v>
      </c>
      <c r="X19" s="1548"/>
      <c r="Y19" s="3598"/>
      <c r="Z19" s="1556" t="str">
        <f>Q19</f>
        <v>商业繁华度</v>
      </c>
      <c r="AA19" s="1557">
        <f t="shared" si="3"/>
        <v>1</v>
      </c>
      <c r="AB19" s="1557">
        <f t="shared" si="4"/>
        <v>1</v>
      </c>
      <c r="AC19" s="1557">
        <f t="shared" si="5"/>
        <v>1</v>
      </c>
    </row>
    <row r="20" spans="1:29" ht="21">
      <c r="A20" s="529"/>
      <c r="B20" s="563"/>
      <c r="C20" s="564" t="s">
        <v>3084</v>
      </c>
      <c r="D20" s="560"/>
      <c r="E20" s="564" t="s">
        <v>3084</v>
      </c>
      <c r="F20" s="556"/>
      <c r="G20" s="564" t="s">
        <v>3084</v>
      </c>
      <c r="H20" s="552"/>
      <c r="I20" s="564" t="s">
        <v>3084</v>
      </c>
      <c r="J20" s="552"/>
      <c r="K20" s="528"/>
      <c r="L20" s="2122"/>
      <c r="M20" s="2112"/>
      <c r="N20" s="2112"/>
      <c r="O20" s="2121"/>
      <c r="P20" s="3598"/>
      <c r="Q20" s="1553"/>
      <c r="R20" s="1554"/>
      <c r="S20" s="1555"/>
      <c r="T20" s="1554"/>
      <c r="U20" s="1555"/>
      <c r="V20" s="1554"/>
      <c r="W20" s="1555"/>
      <c r="X20" s="1548"/>
      <c r="Y20" s="3598"/>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598"/>
      <c r="Q21" s="1553" t="str">
        <f>B21</f>
        <v>办公集聚程度</v>
      </c>
      <c r="R21" s="1554" t="s">
        <v>8</v>
      </c>
      <c r="S21" s="1555">
        <f>F21</f>
        <v>100</v>
      </c>
      <c r="T21" s="1554" t="s">
        <v>8</v>
      </c>
      <c r="U21" s="1555">
        <f>H21</f>
        <v>100</v>
      </c>
      <c r="V21" s="1554" t="s">
        <v>8</v>
      </c>
      <c r="W21" s="1555">
        <f>J21</f>
        <v>100</v>
      </c>
      <c r="X21" s="1548"/>
      <c r="Y21" s="3598"/>
      <c r="Z21" s="1556" t="str">
        <f>Q21</f>
        <v>办公集聚程度</v>
      </c>
      <c r="AA21" s="1557">
        <f t="shared" si="3"/>
        <v>1</v>
      </c>
      <c r="AB21" s="1557">
        <f t="shared" si="4"/>
        <v>1</v>
      </c>
      <c r="AC21" s="1557">
        <f t="shared" si="5"/>
        <v>1</v>
      </c>
    </row>
    <row r="22" spans="1:29" ht="21">
      <c r="A22" s="529"/>
      <c r="B22" s="563"/>
      <c r="C22" s="551"/>
      <c r="D22" s="554"/>
      <c r="E22" s="555"/>
      <c r="F22" s="552"/>
      <c r="G22" s="553"/>
      <c r="H22" s="552"/>
      <c r="I22" s="555"/>
      <c r="J22" s="552"/>
      <c r="K22" s="528"/>
      <c r="L22" s="2122"/>
      <c r="M22" s="2112"/>
      <c r="N22" s="2112"/>
      <c r="O22" s="2121"/>
      <c r="P22" s="3598"/>
      <c r="Q22" s="1553"/>
      <c r="R22" s="1554"/>
      <c r="S22" s="1555"/>
      <c r="T22" s="1554"/>
      <c r="U22" s="1555"/>
      <c r="V22" s="1554"/>
      <c r="W22" s="1555"/>
      <c r="X22" s="1548"/>
      <c r="Y22" s="3598"/>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8" t="s">
        <v>3287</v>
      </c>
      <c r="H23" s="556">
        <f>SUMIF(96:96,G24,97:97)-SUMIF(96:96,C24,97:97)+100</f>
        <v>105</v>
      </c>
      <c r="I23" s="3288" t="s">
        <v>3287</v>
      </c>
      <c r="J23" s="556">
        <f>SUMIF(96:96,I24,97:97)-SUMIF(96:96,C24,97:97)+100</f>
        <v>105</v>
      </c>
      <c r="K23" s="3294">
        <v>5</v>
      </c>
      <c r="L23" s="2122"/>
      <c r="M23" s="2112"/>
      <c r="N23" s="2112"/>
      <c r="O23" s="2121"/>
      <c r="P23" s="3598"/>
      <c r="Q23" s="1553" t="str">
        <f>B23</f>
        <v>交通便捷度</v>
      </c>
      <c r="R23" s="1554" t="s">
        <v>8</v>
      </c>
      <c r="S23" s="1555">
        <f>F23</f>
        <v>100</v>
      </c>
      <c r="T23" s="1554" t="s">
        <v>8</v>
      </c>
      <c r="U23" s="1555">
        <f>H23</f>
        <v>105</v>
      </c>
      <c r="V23" s="1554" t="s">
        <v>8</v>
      </c>
      <c r="W23" s="1555">
        <f>J23</f>
        <v>105</v>
      </c>
      <c r="X23" s="1548"/>
      <c r="Y23" s="3598"/>
      <c r="Z23" s="1556" t="str">
        <f>Q23</f>
        <v>交通便捷度</v>
      </c>
      <c r="AA23" s="1557">
        <f t="shared" si="3"/>
        <v>1</v>
      </c>
      <c r="AB23" s="1557">
        <f t="shared" si="4"/>
        <v>0.95238095238095233</v>
      </c>
      <c r="AC23" s="1557">
        <f t="shared" si="5"/>
        <v>0.95238095238095233</v>
      </c>
    </row>
    <row r="24" spans="1:29" ht="21">
      <c r="A24" s="529"/>
      <c r="B24" s="575"/>
      <c r="C24" s="551" t="s">
        <v>3044</v>
      </c>
      <c r="D24" s="554"/>
      <c r="E24" s="551" t="s">
        <v>3044</v>
      </c>
      <c r="F24" s="552"/>
      <c r="G24" s="564" t="s">
        <v>3056</v>
      </c>
      <c r="H24" s="552"/>
      <c r="I24" s="564" t="s">
        <v>3056</v>
      </c>
      <c r="J24" s="552"/>
      <c r="K24" s="528"/>
      <c r="L24" s="2122"/>
      <c r="M24" s="2112"/>
      <c r="N24" s="2112"/>
      <c r="O24" s="2121"/>
      <c r="P24" s="3598"/>
      <c r="Q24" s="1553"/>
      <c r="R24" s="1554"/>
      <c r="S24" s="1555"/>
      <c r="T24" s="1554"/>
      <c r="U24" s="1555"/>
      <c r="V24" s="1554"/>
      <c r="W24" s="1555"/>
      <c r="X24" s="1548"/>
      <c r="Y24" s="3598"/>
      <c r="Z24" s="1556"/>
      <c r="AA24" s="1557">
        <v>1</v>
      </c>
      <c r="AB24" s="1557">
        <v>1</v>
      </c>
      <c r="AC24" s="1557">
        <v>1</v>
      </c>
    </row>
    <row r="25" spans="1:29" ht="28.8">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22"/>
      <c r="M25" s="2112"/>
      <c r="N25" s="2112"/>
      <c r="O25" s="2121"/>
      <c r="P25" s="3598"/>
      <c r="Q25" s="1553" t="str">
        <f t="shared" ref="Q25:Q39" si="8">B25</f>
        <v>区域土地利用方向</v>
      </c>
      <c r="R25" s="1554" t="s">
        <v>8</v>
      </c>
      <c r="S25" s="1555">
        <f>F25</f>
        <v>100</v>
      </c>
      <c r="T25" s="1554" t="s">
        <v>8</v>
      </c>
      <c r="U25" s="1555">
        <f>H25</f>
        <v>100</v>
      </c>
      <c r="V25" s="1554" t="s">
        <v>8</v>
      </c>
      <c r="W25" s="1555">
        <f>J25</f>
        <v>100</v>
      </c>
      <c r="X25" s="1548"/>
      <c r="Y25" s="3598"/>
      <c r="Z25" s="1556" t="str">
        <f>Q25</f>
        <v>区域土地利用方向</v>
      </c>
      <c r="AA25" s="1557">
        <f t="shared" si="3"/>
        <v>1</v>
      </c>
      <c r="AB25" s="1557">
        <f t="shared" si="4"/>
        <v>1</v>
      </c>
      <c r="AC25" s="1557">
        <f t="shared" si="5"/>
        <v>1</v>
      </c>
    </row>
    <row r="26" spans="1:29" ht="21">
      <c r="A26" s="512"/>
      <c r="B26" s="1003"/>
      <c r="C26" s="551" t="s">
        <v>3056</v>
      </c>
      <c r="D26" s="554"/>
      <c r="E26" s="551" t="s">
        <v>3056</v>
      </c>
      <c r="F26" s="552"/>
      <c r="G26" s="551" t="s">
        <v>3056</v>
      </c>
      <c r="H26" s="552"/>
      <c r="I26" s="551" t="s">
        <v>3056</v>
      </c>
      <c r="J26" s="552"/>
      <c r="K26" s="528"/>
      <c r="L26" s="2122"/>
      <c r="M26" s="2112"/>
      <c r="N26" s="2112"/>
      <c r="O26" s="2121"/>
      <c r="P26" s="3598"/>
      <c r="Q26" s="1553"/>
      <c r="R26" s="1554"/>
      <c r="S26" s="1555"/>
      <c r="T26" s="1554"/>
      <c r="U26" s="1555"/>
      <c r="V26" s="1554"/>
      <c r="W26" s="1555"/>
      <c r="X26" s="1548"/>
      <c r="Y26" s="3598"/>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89" t="s">
        <v>3288</v>
      </c>
      <c r="F27" s="556">
        <f>SUMIF(100:100,E28,101:101)-SUMIF(100:100,C28,101:101)+100</f>
        <v>105</v>
      </c>
      <c r="G27" s="559"/>
      <c r="H27" s="556">
        <f>SUMIF(100:100,G28,101:101)-SUMIF(100:100,C28,101:101)+100</f>
        <v>100</v>
      </c>
      <c r="I27" s="561"/>
      <c r="J27" s="556">
        <f>SUMIF(100:100,I28,101:101)-SUMIF(100:100,C28,101:101)+100</f>
        <v>100</v>
      </c>
      <c r="K27" s="532">
        <v>5</v>
      </c>
      <c r="L27" s="2122"/>
      <c r="M27" s="2112"/>
      <c r="N27" s="2112"/>
      <c r="O27" s="2121"/>
      <c r="P27" s="3598"/>
      <c r="Q27" s="1553" t="str">
        <f t="shared" si="8"/>
        <v>自然及人文环境状况</v>
      </c>
      <c r="R27" s="1554" t="s">
        <v>8</v>
      </c>
      <c r="S27" s="1555">
        <f>F27</f>
        <v>105</v>
      </c>
      <c r="T27" s="1554" t="s">
        <v>8</v>
      </c>
      <c r="U27" s="1555">
        <f>H27</f>
        <v>100</v>
      </c>
      <c r="V27" s="1554" t="s">
        <v>8</v>
      </c>
      <c r="W27" s="1555">
        <f>J27</f>
        <v>100</v>
      </c>
      <c r="X27" s="1548"/>
      <c r="Y27" s="3598"/>
      <c r="Z27" s="1556" t="str">
        <f>Q27</f>
        <v>自然及人文环境状况</v>
      </c>
      <c r="AA27" s="1557">
        <f t="shared" si="3"/>
        <v>0.95238095238095233</v>
      </c>
      <c r="AB27" s="1557">
        <f t="shared" si="4"/>
        <v>1</v>
      </c>
      <c r="AC27" s="1557">
        <f t="shared" si="5"/>
        <v>1</v>
      </c>
    </row>
    <row r="28" spans="1:29" ht="21">
      <c r="A28" s="512"/>
      <c r="B28" s="563"/>
      <c r="C28" s="551" t="s">
        <v>3044</v>
      </c>
      <c r="D28" s="554"/>
      <c r="E28" s="551" t="s">
        <v>3056</v>
      </c>
      <c r="F28" s="552"/>
      <c r="G28" s="551" t="s">
        <v>3044</v>
      </c>
      <c r="H28" s="552"/>
      <c r="I28" s="551" t="s">
        <v>3044</v>
      </c>
      <c r="J28" s="552"/>
      <c r="K28" s="528"/>
      <c r="L28" s="2122"/>
      <c r="M28" s="2112"/>
      <c r="N28" s="2112"/>
      <c r="O28" s="2121"/>
      <c r="P28" s="3598"/>
      <c r="Q28" s="1553"/>
      <c r="R28" s="1554"/>
      <c r="S28" s="1555"/>
      <c r="T28" s="1554"/>
      <c r="U28" s="1555"/>
      <c r="V28" s="1554"/>
      <c r="W28" s="1555"/>
      <c r="X28" s="1548"/>
      <c r="Y28" s="3598"/>
      <c r="Z28" s="1556"/>
      <c r="AA28" s="1557">
        <v>1</v>
      </c>
      <c r="AB28" s="1557">
        <v>1</v>
      </c>
      <c r="AC28" s="1557">
        <v>1</v>
      </c>
    </row>
    <row r="29" spans="1:29" s="1212" customFormat="1" ht="39" customHeight="1">
      <c r="A29" s="574"/>
      <c r="B29" s="2550"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598"/>
      <c r="Q29" s="1143" t="str">
        <f t="shared" si="8"/>
        <v>公共配套设施</v>
      </c>
      <c r="R29" s="1549" t="s">
        <v>8</v>
      </c>
      <c r="S29" s="1550">
        <f>F29</f>
        <v>100</v>
      </c>
      <c r="T29" s="1549" t="s">
        <v>8</v>
      </c>
      <c r="U29" s="1550">
        <f>H29</f>
        <v>100</v>
      </c>
      <c r="V29" s="1549" t="s">
        <v>8</v>
      </c>
      <c r="W29" s="1550">
        <f>J29</f>
        <v>100</v>
      </c>
      <c r="X29" s="1551"/>
      <c r="Y29" s="3598"/>
      <c r="Z29" s="1142" t="str">
        <f>Q29</f>
        <v>公共配套设施</v>
      </c>
      <c r="AA29" s="1557">
        <f>D29/F29</f>
        <v>1</v>
      </c>
      <c r="AB29" s="1557">
        <f>D29/H29</f>
        <v>1</v>
      </c>
      <c r="AC29" s="1557">
        <f>D29/J29</f>
        <v>1</v>
      </c>
    </row>
    <row r="30" spans="1:29" s="1212" customFormat="1" ht="21">
      <c r="A30" s="574"/>
      <c r="B30" s="563"/>
      <c r="C30" s="576" t="s">
        <v>3044</v>
      </c>
      <c r="D30" s="554"/>
      <c r="E30" s="576" t="s">
        <v>3044</v>
      </c>
      <c r="F30" s="552"/>
      <c r="G30" s="576" t="s">
        <v>3044</v>
      </c>
      <c r="H30" s="552"/>
      <c r="I30" s="576" t="s">
        <v>3044</v>
      </c>
      <c r="J30" s="552"/>
      <c r="K30" s="528"/>
      <c r="L30" s="2115"/>
      <c r="M30" s="2112"/>
      <c r="N30" s="2112"/>
      <c r="O30" s="2117"/>
      <c r="P30" s="3598"/>
      <c r="Q30" s="1143"/>
      <c r="R30" s="1549"/>
      <c r="S30" s="1550"/>
      <c r="T30" s="1549"/>
      <c r="U30" s="1550"/>
      <c r="V30" s="1549"/>
      <c r="W30" s="1550"/>
      <c r="X30" s="1551"/>
      <c r="Y30" s="3598"/>
      <c r="Z30" s="1142"/>
      <c r="AA30" s="1557">
        <v>1</v>
      </c>
      <c r="AB30" s="1557">
        <v>1</v>
      </c>
      <c r="AC30" s="1557">
        <v>1</v>
      </c>
    </row>
    <row r="31" spans="1:29" s="1212" customFormat="1" ht="27.6">
      <c r="A31" s="574"/>
      <c r="B31" s="2550"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5"/>
      <c r="M31" s="2112"/>
      <c r="N31" s="2112"/>
      <c r="O31" s="2117"/>
      <c r="P31" s="3598"/>
      <c r="Q31" s="2537" t="str">
        <f>B31</f>
        <v>基础设施水平</v>
      </c>
      <c r="R31" s="1549" t="s">
        <v>8</v>
      </c>
      <c r="S31" s="1550">
        <f>F31</f>
        <v>100</v>
      </c>
      <c r="T31" s="1549" t="s">
        <v>8</v>
      </c>
      <c r="U31" s="1550">
        <f>H31</f>
        <v>100</v>
      </c>
      <c r="V31" s="1549" t="s">
        <v>8</v>
      </c>
      <c r="W31" s="1550">
        <f>J31</f>
        <v>100</v>
      </c>
      <c r="X31" s="1551"/>
      <c r="Y31" s="3598"/>
      <c r="Z31" s="2534" t="str">
        <f>Q31</f>
        <v>基础设施水平</v>
      </c>
      <c r="AA31" s="1557">
        <f>D31/F31</f>
        <v>1</v>
      </c>
      <c r="AB31" s="1557">
        <f>D31/H31</f>
        <v>1</v>
      </c>
      <c r="AC31" s="1557">
        <f>D31/J31</f>
        <v>1</v>
      </c>
    </row>
    <row r="32" spans="1:29" s="1212" customFormat="1" ht="21">
      <c r="A32" s="574"/>
      <c r="B32" s="563"/>
      <c r="C32" s="576" t="s">
        <v>3058</v>
      </c>
      <c r="D32" s="554"/>
      <c r="E32" s="576" t="s">
        <v>3058</v>
      </c>
      <c r="F32" s="552"/>
      <c r="G32" s="576" t="s">
        <v>3058</v>
      </c>
      <c r="H32" s="552"/>
      <c r="I32" s="576" t="s">
        <v>3058</v>
      </c>
      <c r="J32" s="552"/>
      <c r="K32" s="528"/>
      <c r="L32" s="2115"/>
      <c r="M32" s="2112"/>
      <c r="N32" s="2112"/>
      <c r="O32" s="2117"/>
      <c r="P32" s="3598"/>
      <c r="Q32" s="2537"/>
      <c r="R32" s="1549"/>
      <c r="S32" s="1550"/>
      <c r="T32" s="1549"/>
      <c r="U32" s="1550"/>
      <c r="V32" s="1549"/>
      <c r="W32" s="1550"/>
      <c r="X32" s="1551"/>
      <c r="Y32" s="3598"/>
      <c r="Z32" s="2534"/>
      <c r="AA32" s="1557">
        <v>1</v>
      </c>
      <c r="AB32" s="1557">
        <v>1</v>
      </c>
      <c r="AC32" s="1557">
        <v>1</v>
      </c>
    </row>
    <row r="33" spans="1:29" ht="21">
      <c r="A33" s="529"/>
      <c r="B33" s="563" t="s">
        <v>547</v>
      </c>
      <c r="C33" s="577" t="s">
        <v>3059</v>
      </c>
      <c r="D33" s="572">
        <v>100</v>
      </c>
      <c r="E33" s="580" t="s">
        <v>3081</v>
      </c>
      <c r="F33" s="537">
        <f>SUMIF(106:106,E33,107:107)-SUMIF(106:106,C33,107:107)+100</f>
        <v>98</v>
      </c>
      <c r="G33" s="577" t="s">
        <v>3081</v>
      </c>
      <c r="H33" s="537">
        <f>SUMIF(106:106,G33,107:107)-SUMIF(106:106,C33,107:107)+100</f>
        <v>98</v>
      </c>
      <c r="I33" s="577" t="s">
        <v>3290</v>
      </c>
      <c r="J33" s="537">
        <f>SUMIF(106:106,I33,107:107)-SUMIF(106:106,C33,107:107)+100</f>
        <v>102</v>
      </c>
      <c r="K33" s="532">
        <v>2</v>
      </c>
      <c r="L33" s="2122"/>
      <c r="M33" s="2112"/>
      <c r="N33" s="2112"/>
      <c r="O33" s="2121"/>
      <c r="P33" s="3598"/>
      <c r="Q33" s="1553" t="str">
        <f t="shared" si="8"/>
        <v>临街状况</v>
      </c>
      <c r="R33" s="1554" t="s">
        <v>8</v>
      </c>
      <c r="S33" s="1555">
        <f t="shared" ref="S33:S47" si="9">F33</f>
        <v>98</v>
      </c>
      <c r="T33" s="1554" t="s">
        <v>8</v>
      </c>
      <c r="U33" s="1555">
        <f t="shared" ref="U33:U47" si="10">H33</f>
        <v>98</v>
      </c>
      <c r="V33" s="1554" t="s">
        <v>8</v>
      </c>
      <c r="W33" s="1555">
        <f t="shared" ref="W33:W47" si="11">J33</f>
        <v>102</v>
      </c>
      <c r="X33" s="1548"/>
      <c r="Y33" s="3598"/>
      <c r="Z33" s="1556" t="str">
        <f t="shared" ref="Z33:Z47" si="12">Q33</f>
        <v>临街状况</v>
      </c>
      <c r="AA33" s="1557">
        <f t="shared" si="3"/>
        <v>1.0204081632653061</v>
      </c>
      <c r="AB33" s="1557">
        <f t="shared" si="4"/>
        <v>1.0204081632653061</v>
      </c>
      <c r="AC33" s="1557">
        <f t="shared" si="5"/>
        <v>0.98039215686274506</v>
      </c>
    </row>
    <row r="34" spans="1:29" ht="28.8">
      <c r="A34" s="529"/>
      <c r="B34" s="575" t="s">
        <v>548</v>
      </c>
      <c r="C34" s="3198" t="s">
        <v>3289</v>
      </c>
      <c r="D34" s="560">
        <v>100</v>
      </c>
      <c r="E34" s="3199" t="s">
        <v>3291</v>
      </c>
      <c r="F34" s="556">
        <f>SUMIF(108:108,E35,109:109)-SUMIF(108:108,C35,109:109)+100</f>
        <v>100</v>
      </c>
      <c r="G34" s="3198" t="s">
        <v>3292</v>
      </c>
      <c r="H34" s="556">
        <f>SUMIF(108:108,G35,109:109)-SUMIF(108:108,C35,109:109)+100</f>
        <v>99</v>
      </c>
      <c r="I34" s="3199" t="s">
        <v>3293</v>
      </c>
      <c r="J34" s="556">
        <f>SUMIF(108:108,I35,109:109)-SUMIF(108:108,C35,109:109)+100</f>
        <v>100</v>
      </c>
      <c r="K34" s="532">
        <v>1</v>
      </c>
      <c r="L34" s="2122"/>
      <c r="M34" s="2112"/>
      <c r="N34" s="2112"/>
      <c r="O34" s="2121"/>
      <c r="P34" s="3598"/>
      <c r="Q34" s="1553" t="str">
        <f t="shared" si="8"/>
        <v>毗邻道路的类型与等级</v>
      </c>
      <c r="R34" s="1554" t="s">
        <v>8</v>
      </c>
      <c r="S34" s="1555">
        <f t="shared" si="9"/>
        <v>100</v>
      </c>
      <c r="T34" s="1554" t="s">
        <v>8</v>
      </c>
      <c r="U34" s="1555">
        <f t="shared" si="10"/>
        <v>99</v>
      </c>
      <c r="V34" s="1554" t="s">
        <v>8</v>
      </c>
      <c r="W34" s="1555">
        <f t="shared" si="11"/>
        <v>100</v>
      </c>
      <c r="X34" s="1548"/>
      <c r="Y34" s="3598"/>
      <c r="Z34" s="1556" t="str">
        <f t="shared" si="12"/>
        <v>毗邻道路的类型与等级</v>
      </c>
      <c r="AA34" s="1557">
        <f t="shared" si="3"/>
        <v>1</v>
      </c>
      <c r="AB34" s="1557">
        <f t="shared" si="4"/>
        <v>1.0101010101010102</v>
      </c>
      <c r="AC34" s="1557">
        <f t="shared" si="5"/>
        <v>1</v>
      </c>
    </row>
    <row r="35" spans="1:29" ht="21">
      <c r="A35" s="529"/>
      <c r="B35" s="563"/>
      <c r="C35" s="551" t="s">
        <v>3078</v>
      </c>
      <c r="D35" s="554"/>
      <c r="E35" s="573" t="s">
        <v>3078</v>
      </c>
      <c r="F35" s="552"/>
      <c r="G35" s="551" t="s">
        <v>3083</v>
      </c>
      <c r="H35" s="552"/>
      <c r="I35" s="573" t="s">
        <v>3078</v>
      </c>
      <c r="J35" s="552"/>
      <c r="K35" s="578"/>
      <c r="L35" s="2122"/>
      <c r="M35" s="2112"/>
      <c r="N35" s="2112"/>
      <c r="O35" s="2121"/>
      <c r="P35" s="3598"/>
      <c r="Q35" s="1553"/>
      <c r="R35" s="1554"/>
      <c r="S35" s="1555"/>
      <c r="T35" s="1554"/>
      <c r="U35" s="1555"/>
      <c r="V35" s="1554"/>
      <c r="W35" s="1555"/>
      <c r="X35" s="1548"/>
      <c r="Y35" s="3598"/>
      <c r="Z35" s="1556"/>
      <c r="AA35" s="1557">
        <v>1</v>
      </c>
      <c r="AB35" s="1557">
        <v>1</v>
      </c>
      <c r="AC35" s="1557">
        <v>1</v>
      </c>
    </row>
    <row r="36" spans="1:29" ht="2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598"/>
      <c r="Q36" s="1553" t="str">
        <f t="shared" si="8"/>
        <v>土地级别</v>
      </c>
      <c r="R36" s="1554" t="s">
        <v>8</v>
      </c>
      <c r="S36" s="1555">
        <f t="shared" si="9"/>
        <v>100</v>
      </c>
      <c r="T36" s="1554" t="s">
        <v>8</v>
      </c>
      <c r="U36" s="1555">
        <f t="shared" si="10"/>
        <v>100</v>
      </c>
      <c r="V36" s="1554" t="s">
        <v>8</v>
      </c>
      <c r="W36" s="1555">
        <f t="shared" si="11"/>
        <v>100</v>
      </c>
      <c r="X36" s="1548"/>
      <c r="Y36" s="3598"/>
      <c r="Z36" s="1556" t="str">
        <f t="shared" si="12"/>
        <v>土地级别</v>
      </c>
      <c r="AA36" s="1557">
        <f t="shared" si="3"/>
        <v>1</v>
      </c>
      <c r="AB36" s="1557">
        <f t="shared" si="4"/>
        <v>1</v>
      </c>
      <c r="AC36" s="1557">
        <f t="shared" si="5"/>
        <v>1</v>
      </c>
    </row>
    <row r="37" spans="1:29" ht="2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598"/>
      <c r="Q37" s="1553">
        <f t="shared" si="8"/>
        <v>111</v>
      </c>
      <c r="R37" s="1554" t="s">
        <v>8</v>
      </c>
      <c r="S37" s="1555">
        <f t="shared" si="9"/>
        <v>100</v>
      </c>
      <c r="T37" s="1554" t="s">
        <v>8</v>
      </c>
      <c r="U37" s="1555">
        <f t="shared" si="10"/>
        <v>100</v>
      </c>
      <c r="V37" s="1554" t="s">
        <v>8</v>
      </c>
      <c r="W37" s="1555">
        <f t="shared" si="11"/>
        <v>100</v>
      </c>
      <c r="X37" s="1548"/>
      <c r="Y37" s="3598"/>
      <c r="Z37" s="1556">
        <f t="shared" si="12"/>
        <v>111</v>
      </c>
      <c r="AA37" s="1557">
        <f t="shared" si="3"/>
        <v>1</v>
      </c>
      <c r="AB37" s="1557">
        <f t="shared" si="4"/>
        <v>1</v>
      </c>
      <c r="AC37" s="1557">
        <f t="shared" si="5"/>
        <v>1</v>
      </c>
    </row>
    <row r="38" spans="1:29" ht="2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599" t="s">
        <v>550</v>
      </c>
      <c r="Q38" s="1553">
        <f t="shared" si="8"/>
        <v>111</v>
      </c>
      <c r="R38" s="1554" t="s">
        <v>8</v>
      </c>
      <c r="S38" s="1555">
        <f t="shared" si="9"/>
        <v>100</v>
      </c>
      <c r="T38" s="1554" t="s">
        <v>8</v>
      </c>
      <c r="U38" s="1555">
        <f t="shared" si="10"/>
        <v>100</v>
      </c>
      <c r="V38" s="1554" t="s">
        <v>8</v>
      </c>
      <c r="W38" s="1555">
        <f t="shared" si="11"/>
        <v>100</v>
      </c>
      <c r="X38" s="1548"/>
      <c r="Y38" s="3600" t="s">
        <v>550</v>
      </c>
      <c r="Z38" s="1556">
        <f t="shared" si="12"/>
        <v>111</v>
      </c>
      <c r="AA38" s="1557">
        <f t="shared" si="3"/>
        <v>1</v>
      </c>
      <c r="AB38" s="1557">
        <f t="shared" si="4"/>
        <v>1</v>
      </c>
      <c r="AC38" s="1557">
        <f t="shared" si="5"/>
        <v>1</v>
      </c>
    </row>
    <row r="39" spans="1:29" s="1331" customFormat="1" ht="21.6"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600"/>
      <c r="Q39" s="1553">
        <f t="shared" si="8"/>
        <v>111</v>
      </c>
      <c r="R39" s="1558" t="s">
        <v>8</v>
      </c>
      <c r="S39" s="1559">
        <f t="shared" si="9"/>
        <v>100</v>
      </c>
      <c r="T39" s="1558" t="s">
        <v>8</v>
      </c>
      <c r="U39" s="1559">
        <f t="shared" si="10"/>
        <v>100</v>
      </c>
      <c r="V39" s="1558" t="s">
        <v>8</v>
      </c>
      <c r="W39" s="1559">
        <f t="shared" si="11"/>
        <v>100</v>
      </c>
      <c r="X39" s="1560"/>
      <c r="Y39" s="3600"/>
      <c r="Z39" s="1561">
        <f t="shared" si="12"/>
        <v>111</v>
      </c>
      <c r="AA39" s="1557">
        <f t="shared" si="3"/>
        <v>1</v>
      </c>
      <c r="AB39" s="1557">
        <f t="shared" si="4"/>
        <v>1</v>
      </c>
      <c r="AC39" s="1557">
        <f t="shared" si="5"/>
        <v>1</v>
      </c>
    </row>
    <row r="40" spans="1:29" ht="21">
      <c r="A40" s="2857" t="s">
        <v>2751</v>
      </c>
      <c r="B40" s="592" t="s">
        <v>552</v>
      </c>
      <c r="C40" s="3309">
        <f>'数据-基础表'!A3</f>
        <v>42276.47</v>
      </c>
      <c r="D40" s="594">
        <v>100</v>
      </c>
      <c r="E40" s="593">
        <f>土地案例!J2</f>
        <v>51736.9</v>
      </c>
      <c r="F40" s="594">
        <f>LOOKUP(E40,119:119,120:120)-LOOKUP(C40,119:119,120:120)+100</f>
        <v>100</v>
      </c>
      <c r="G40" s="593">
        <f>土地案例!J3</f>
        <v>33071.620000000003</v>
      </c>
      <c r="H40" s="594">
        <f>LOOKUP(G40,119:119,120:120)-LOOKUP(C40,119:119,120:120)+100</f>
        <v>99</v>
      </c>
      <c r="I40" s="595">
        <f>土地案例!J4</f>
        <v>66237.2</v>
      </c>
      <c r="J40" s="594">
        <f>LOOKUP(I40,119:119,120:120)-LOOKUP(C40,119:119,120:120)+100</f>
        <v>101</v>
      </c>
      <c r="K40" s="578"/>
      <c r="L40" s="2122"/>
      <c r="M40" s="2112"/>
      <c r="N40" s="2112"/>
      <c r="O40" s="2121"/>
      <c r="P40" s="3600"/>
      <c r="Q40" s="1553" t="str">
        <f>B40</f>
        <v>宗地面积</v>
      </c>
      <c r="R40" s="1554" t="s">
        <v>8</v>
      </c>
      <c r="S40" s="1555">
        <f t="shared" si="9"/>
        <v>100</v>
      </c>
      <c r="T40" s="1554" t="s">
        <v>8</v>
      </c>
      <c r="U40" s="1555">
        <f t="shared" si="10"/>
        <v>99</v>
      </c>
      <c r="V40" s="1554" t="s">
        <v>8</v>
      </c>
      <c r="W40" s="1555">
        <f t="shared" si="11"/>
        <v>101</v>
      </c>
      <c r="X40" s="1548"/>
      <c r="Y40" s="3600"/>
      <c r="Z40" s="1556" t="str">
        <f t="shared" si="12"/>
        <v>宗地面积</v>
      </c>
      <c r="AA40" s="1557">
        <f t="shared" si="3"/>
        <v>1</v>
      </c>
      <c r="AB40" s="1557">
        <f t="shared" si="4"/>
        <v>1.0101010101010102</v>
      </c>
      <c r="AC40" s="1557">
        <f t="shared" si="5"/>
        <v>0.99009900990099009</v>
      </c>
    </row>
    <row r="41" spans="1:29" ht="21">
      <c r="A41" s="591"/>
      <c r="B41" s="524" t="s">
        <v>553</v>
      </c>
      <c r="C41" s="596" t="s">
        <v>3080</v>
      </c>
      <c r="D41" s="537">
        <v>100</v>
      </c>
      <c r="E41" s="596" t="s">
        <v>3080</v>
      </c>
      <c r="F41" s="537">
        <f>SUMIF(121:121,E41,122:122)-SUMIF(121:121,C41,122:122)+100</f>
        <v>100</v>
      </c>
      <c r="G41" s="596" t="s">
        <v>3080</v>
      </c>
      <c r="H41" s="537">
        <f>SUMIF(121:121,G41,122:122)-SUMIF(121:121,C41,122:122)+100</f>
        <v>100</v>
      </c>
      <c r="I41" s="596" t="s">
        <v>3080</v>
      </c>
      <c r="J41" s="537">
        <f>SUMIF(121:121,I41,122:122)-SUMIF(121:121,C41,122:122)+100</f>
        <v>100</v>
      </c>
      <c r="K41" s="581">
        <v>2</v>
      </c>
      <c r="L41" s="2122"/>
      <c r="M41" s="2112"/>
      <c r="N41" s="2112"/>
      <c r="O41" s="2121"/>
      <c r="P41" s="3600"/>
      <c r="Q41" s="1553" t="str">
        <f t="shared" ref="Q41:Q47" si="13">B41</f>
        <v>宗地形状</v>
      </c>
      <c r="R41" s="1554" t="s">
        <v>8</v>
      </c>
      <c r="S41" s="1555">
        <f t="shared" si="9"/>
        <v>100</v>
      </c>
      <c r="T41" s="1554" t="s">
        <v>8</v>
      </c>
      <c r="U41" s="1555">
        <f t="shared" si="10"/>
        <v>100</v>
      </c>
      <c r="V41" s="1554" t="s">
        <v>8</v>
      </c>
      <c r="W41" s="1555">
        <f t="shared" si="11"/>
        <v>100</v>
      </c>
      <c r="X41" s="1548"/>
      <c r="Y41" s="3600"/>
      <c r="Z41" s="1556" t="str">
        <f t="shared" si="12"/>
        <v>宗地形状</v>
      </c>
      <c r="AA41" s="1557">
        <f t="shared" si="3"/>
        <v>1</v>
      </c>
      <c r="AB41" s="1557">
        <f t="shared" si="4"/>
        <v>1</v>
      </c>
      <c r="AC41" s="1557">
        <f t="shared" si="5"/>
        <v>1</v>
      </c>
    </row>
    <row r="42" spans="1:29" ht="21">
      <c r="A42" s="591"/>
      <c r="B42" s="524" t="s">
        <v>554</v>
      </c>
      <c r="C42" s="596" t="s">
        <v>3079</v>
      </c>
      <c r="D42" s="537">
        <v>100</v>
      </c>
      <c r="E42" s="596" t="s">
        <v>3079</v>
      </c>
      <c r="F42" s="537">
        <f>SUMIF(123:123,E42,124:124)-SUMIF(123:123,C42,124:124)+100</f>
        <v>100</v>
      </c>
      <c r="G42" s="596" t="s">
        <v>3079</v>
      </c>
      <c r="H42" s="537">
        <f>SUMIF(123:123,G42,124:124)-SUMIF(123:123,C42,124:124)+100</f>
        <v>100</v>
      </c>
      <c r="I42" s="596" t="s">
        <v>3079</v>
      </c>
      <c r="J42" s="537">
        <f>SUMIF(123:123,I42,124:124)-SUMIF(123:123,C42,124:124)+100</f>
        <v>100</v>
      </c>
      <c r="K42" s="581">
        <v>2</v>
      </c>
      <c r="L42" s="2122"/>
      <c r="M42" s="2112"/>
      <c r="N42" s="2112"/>
      <c r="O42" s="2121"/>
      <c r="P42" s="3600"/>
      <c r="Q42" s="1553" t="str">
        <f t="shared" si="13"/>
        <v>临街宽度及深度</v>
      </c>
      <c r="R42" s="1554" t="s">
        <v>8</v>
      </c>
      <c r="S42" s="1555">
        <f t="shared" si="9"/>
        <v>100</v>
      </c>
      <c r="T42" s="1554" t="s">
        <v>8</v>
      </c>
      <c r="U42" s="1555">
        <f t="shared" si="10"/>
        <v>100</v>
      </c>
      <c r="V42" s="1554" t="s">
        <v>8</v>
      </c>
      <c r="W42" s="1555">
        <f t="shared" si="11"/>
        <v>100</v>
      </c>
      <c r="X42" s="1548"/>
      <c r="Y42" s="3600"/>
      <c r="Z42" s="1556" t="str">
        <f t="shared" si="12"/>
        <v>临街宽度及深度</v>
      </c>
      <c r="AA42" s="1557">
        <f t="shared" si="3"/>
        <v>1</v>
      </c>
      <c r="AB42" s="1557">
        <f t="shared" si="4"/>
        <v>1</v>
      </c>
      <c r="AC42" s="1557">
        <f t="shared" si="5"/>
        <v>1</v>
      </c>
    </row>
    <row r="43" spans="1:29" s="1212" customFormat="1" ht="21">
      <c r="A43" s="597"/>
      <c r="B43" s="1875" t="s">
        <v>2422</v>
      </c>
      <c r="C43" s="598" t="s">
        <v>3058</v>
      </c>
      <c r="D43" s="252">
        <v>100</v>
      </c>
      <c r="E43" s="598" t="s">
        <v>3058</v>
      </c>
      <c r="F43" s="537">
        <f>SUMIF(125:125,E43,126:126)-SUMIF(125:125,C43,126:126)+100</f>
        <v>100</v>
      </c>
      <c r="G43" s="598" t="s">
        <v>3072</v>
      </c>
      <c r="H43" s="537">
        <f>SUMIF(125:125,G43,126:126)-SUMIF(125:125,C43,126:126)+100</f>
        <v>101</v>
      </c>
      <c r="I43" s="598" t="s">
        <v>3072</v>
      </c>
      <c r="J43" s="537">
        <f>SUMIF(125:125,I43,126:126)-SUMIF(125:125,C43,126:126)+100</f>
        <v>101</v>
      </c>
      <c r="K43" s="581">
        <v>1</v>
      </c>
      <c r="L43" s="2115"/>
      <c r="M43" s="2112"/>
      <c r="N43" s="2112"/>
      <c r="O43" s="2117"/>
      <c r="P43" s="3600"/>
      <c r="Q43" s="1553" t="str">
        <f t="shared" si="13"/>
        <v>宗地开发程度</v>
      </c>
      <c r="R43" s="1549" t="s">
        <v>8</v>
      </c>
      <c r="S43" s="1550">
        <f t="shared" si="9"/>
        <v>100</v>
      </c>
      <c r="T43" s="1549" t="s">
        <v>8</v>
      </c>
      <c r="U43" s="1550">
        <f t="shared" si="10"/>
        <v>101</v>
      </c>
      <c r="V43" s="1549" t="s">
        <v>8</v>
      </c>
      <c r="W43" s="1550">
        <f t="shared" si="11"/>
        <v>101</v>
      </c>
      <c r="X43" s="1551"/>
      <c r="Y43" s="3600"/>
      <c r="Z43" s="1142" t="str">
        <f t="shared" si="12"/>
        <v>宗地开发程度</v>
      </c>
      <c r="AA43" s="1552">
        <f t="shared" si="3"/>
        <v>1</v>
      </c>
      <c r="AB43" s="1552">
        <f t="shared" si="4"/>
        <v>0.99009900990099009</v>
      </c>
      <c r="AC43" s="1552">
        <f t="shared" si="5"/>
        <v>0.99009900990099009</v>
      </c>
    </row>
    <row r="44" spans="1:29" ht="21">
      <c r="A44" s="591"/>
      <c r="B44" s="524" t="s">
        <v>555</v>
      </c>
      <c r="C44" s="596" t="s">
        <v>3056</v>
      </c>
      <c r="D44" s="537">
        <v>100</v>
      </c>
      <c r="E44" s="596" t="s">
        <v>3056</v>
      </c>
      <c r="F44" s="537">
        <f>SUMIF(127:127,E44,128:128)-SUMIF(127:127,C44,128:128)+100</f>
        <v>100</v>
      </c>
      <c r="G44" s="596" t="s">
        <v>3056</v>
      </c>
      <c r="H44" s="537">
        <f>SUMIF(127:127,G44,128:128)-SUMIF(127:127,C44,128:128)+100</f>
        <v>100</v>
      </c>
      <c r="I44" s="596" t="s">
        <v>3056</v>
      </c>
      <c r="J44" s="537">
        <f>SUMIF(127:127,I44,128:128)-SUMIF(127:127,C44,128:128)+100</f>
        <v>100</v>
      </c>
      <c r="K44" s="581">
        <v>2</v>
      </c>
      <c r="L44" s="2122"/>
      <c r="M44" s="2112"/>
      <c r="N44" s="2112"/>
      <c r="O44" s="2121"/>
      <c r="P44" s="3600" t="s">
        <v>550</v>
      </c>
      <c r="Q44" s="1553" t="str">
        <f t="shared" si="13"/>
        <v>工程地质条件</v>
      </c>
      <c r="R44" s="1554" t="s">
        <v>8</v>
      </c>
      <c r="S44" s="1555">
        <f t="shared" si="9"/>
        <v>100</v>
      </c>
      <c r="T44" s="1554" t="s">
        <v>8</v>
      </c>
      <c r="U44" s="1555">
        <f t="shared" si="10"/>
        <v>100</v>
      </c>
      <c r="V44" s="1554" t="s">
        <v>8</v>
      </c>
      <c r="W44" s="1555">
        <f t="shared" si="11"/>
        <v>100</v>
      </c>
      <c r="X44" s="1548"/>
      <c r="Y44" s="3600" t="s">
        <v>550</v>
      </c>
      <c r="Z44" s="1556" t="str">
        <f t="shared" si="12"/>
        <v>工程地质条件</v>
      </c>
      <c r="AA44" s="1557">
        <f t="shared" si="3"/>
        <v>1</v>
      </c>
      <c r="AB44" s="1557">
        <f t="shared" si="4"/>
        <v>1</v>
      </c>
      <c r="AC44" s="1557">
        <f t="shared" si="5"/>
        <v>1</v>
      </c>
    </row>
    <row r="45" spans="1:29" ht="2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600"/>
      <c r="Q45" s="1553">
        <f t="shared" si="13"/>
        <v>111</v>
      </c>
      <c r="R45" s="1554" t="s">
        <v>8</v>
      </c>
      <c r="S45" s="1555">
        <f t="shared" si="9"/>
        <v>100</v>
      </c>
      <c r="T45" s="1554" t="s">
        <v>8</v>
      </c>
      <c r="U45" s="1555">
        <f t="shared" si="10"/>
        <v>100</v>
      </c>
      <c r="V45" s="1554" t="s">
        <v>8</v>
      </c>
      <c r="W45" s="1555">
        <f t="shared" si="11"/>
        <v>100</v>
      </c>
      <c r="X45" s="1548"/>
      <c r="Y45" s="3600"/>
      <c r="Z45" s="1556">
        <f t="shared" si="12"/>
        <v>111</v>
      </c>
      <c r="AA45" s="1557">
        <f t="shared" si="3"/>
        <v>1</v>
      </c>
      <c r="AB45" s="1557">
        <f t="shared" si="4"/>
        <v>1</v>
      </c>
      <c r="AC45" s="1557">
        <f t="shared" si="5"/>
        <v>1</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600"/>
      <c r="Q46" s="1553">
        <f t="shared" si="13"/>
        <v>111</v>
      </c>
      <c r="R46" s="1554" t="s">
        <v>8</v>
      </c>
      <c r="S46" s="1555">
        <f t="shared" si="9"/>
        <v>100</v>
      </c>
      <c r="T46" s="1554" t="s">
        <v>8</v>
      </c>
      <c r="U46" s="1555">
        <f t="shared" si="10"/>
        <v>100</v>
      </c>
      <c r="V46" s="1554" t="s">
        <v>8</v>
      </c>
      <c r="W46" s="1555">
        <f t="shared" si="11"/>
        <v>100</v>
      </c>
      <c r="X46" s="1548"/>
      <c r="Y46" s="3600"/>
      <c r="Z46" s="1556">
        <f t="shared" si="12"/>
        <v>111</v>
      </c>
      <c r="AA46" s="1557">
        <f t="shared" si="3"/>
        <v>1</v>
      </c>
      <c r="AB46" s="1557">
        <f t="shared" si="4"/>
        <v>1</v>
      </c>
      <c r="AC46" s="1557">
        <f t="shared" si="5"/>
        <v>1</v>
      </c>
    </row>
    <row r="47" spans="1:29" s="1331"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600"/>
      <c r="Q47" s="1553">
        <f t="shared" si="13"/>
        <v>111</v>
      </c>
      <c r="R47" s="1558" t="s">
        <v>8</v>
      </c>
      <c r="S47" s="1559">
        <f t="shared" si="9"/>
        <v>100</v>
      </c>
      <c r="T47" s="1558" t="s">
        <v>8</v>
      </c>
      <c r="U47" s="1559">
        <f t="shared" si="10"/>
        <v>100</v>
      </c>
      <c r="V47" s="1558" t="s">
        <v>8</v>
      </c>
      <c r="W47" s="1559">
        <f t="shared" si="11"/>
        <v>100</v>
      </c>
      <c r="X47" s="1560"/>
      <c r="Y47" s="3600"/>
      <c r="Z47" s="1561">
        <f t="shared" si="12"/>
        <v>111</v>
      </c>
      <c r="AA47" s="1557">
        <f t="shared" si="3"/>
        <v>1</v>
      </c>
      <c r="AB47" s="1557">
        <f t="shared" si="4"/>
        <v>1</v>
      </c>
      <c r="AC47" s="1557">
        <f t="shared" si="5"/>
        <v>1</v>
      </c>
    </row>
    <row r="48" spans="1:29" ht="21">
      <c r="A48" s="604" t="s">
        <v>556</v>
      </c>
      <c r="B48" s="605" t="s">
        <v>3045</v>
      </c>
      <c r="C48" s="606" t="s">
        <v>1</v>
      </c>
      <c r="D48" s="607"/>
      <c r="E48" s="608">
        <f>ROUND(土地案例!AK2,0)</f>
        <v>18382</v>
      </c>
      <c r="F48" s="609"/>
      <c r="G48" s="608">
        <f>ROUND(土地案例!AK3,0)</f>
        <v>14948</v>
      </c>
      <c r="H48" s="611"/>
      <c r="I48" s="608">
        <f>ROUND(土地案例!AK4,0)</f>
        <v>14580</v>
      </c>
      <c r="J48" s="611"/>
      <c r="K48" s="1332"/>
      <c r="L48" s="2124"/>
      <c r="M48" s="2112"/>
      <c r="N48" s="2112"/>
      <c r="O48" s="2125"/>
      <c r="P48" s="3562" t="str">
        <f>A48</f>
        <v>成交单价</v>
      </c>
      <c r="Q48" s="3562"/>
      <c r="R48" s="3563">
        <f>E48</f>
        <v>18382</v>
      </c>
      <c r="S48" s="3563"/>
      <c r="T48" s="3563">
        <f>G48</f>
        <v>14948</v>
      </c>
      <c r="U48" s="3563"/>
      <c r="V48" s="3563">
        <f>I48</f>
        <v>14580</v>
      </c>
      <c r="W48" s="3563"/>
      <c r="X48" s="1540"/>
      <c r="Y48" s="1562"/>
      <c r="Z48" s="1540"/>
      <c r="AA48" s="1540"/>
      <c r="AB48" s="1540"/>
      <c r="AC48" s="1540"/>
    </row>
    <row r="49" spans="1:29" ht="21.6" thickBot="1">
      <c r="A49" s="612" t="s">
        <v>2689</v>
      </c>
      <c r="B49" s="613"/>
      <c r="C49" s="614">
        <f>R50</f>
        <v>14752</v>
      </c>
      <c r="D49" s="615"/>
      <c r="E49" s="614">
        <f>R49</f>
        <v>15345</v>
      </c>
      <c r="F49" s="616"/>
      <c r="G49" s="617">
        <f>T49</f>
        <v>15098</v>
      </c>
      <c r="H49" s="615"/>
      <c r="I49" s="614">
        <f>V49</f>
        <v>13814</v>
      </c>
      <c r="J49" s="615"/>
      <c r="K49" s="1333"/>
      <c r="L49" s="2124"/>
      <c r="M49" s="2112"/>
      <c r="N49" s="2112"/>
      <c r="O49" s="2125"/>
      <c r="P49" s="3562" t="str">
        <f>A49</f>
        <v>比较价格（元/平方米）</v>
      </c>
      <c r="Q49" s="3562"/>
      <c r="R49" s="3564">
        <f>ROUND(PRODUCT(R48,AA9:AA47),0)</f>
        <v>15345</v>
      </c>
      <c r="S49" s="3564"/>
      <c r="T49" s="3564">
        <f>ROUND(PRODUCT(T48,AB9:AB47),0)</f>
        <v>15098</v>
      </c>
      <c r="U49" s="3564"/>
      <c r="V49" s="3564">
        <f>ROUND(PRODUCT(V48,AC9:AC47),0)</f>
        <v>13814</v>
      </c>
      <c r="W49" s="3564"/>
      <c r="X49" s="1540"/>
      <c r="Y49" s="1540"/>
      <c r="Z49" s="1540"/>
      <c r="AA49" s="1540"/>
      <c r="AB49" s="1540"/>
      <c r="AC49" s="1540"/>
    </row>
    <row r="50" spans="1:29" ht="21.6" thickBot="1">
      <c r="A50" s="618" t="s">
        <v>2928</v>
      </c>
      <c r="B50" s="619"/>
      <c r="C50" s="620">
        <f>R50</f>
        <v>14752</v>
      </c>
      <c r="D50" s="620"/>
      <c r="E50" s="620"/>
      <c r="F50" s="620"/>
      <c r="G50" s="620"/>
      <c r="H50" s="620"/>
      <c r="I50" s="620"/>
      <c r="J50" s="620"/>
      <c r="K50" s="1334"/>
      <c r="L50" s="2124"/>
      <c r="M50" s="2112"/>
      <c r="N50" s="2112"/>
      <c r="O50" s="2125"/>
      <c r="P50" s="3559" t="str">
        <f>A50</f>
        <v>估价对象XX用房的比较价格（楼面单价，元/平方米）</v>
      </c>
      <c r="Q50" s="3560"/>
      <c r="R50" s="3561">
        <f>ROUND(AVERAGE(R49:V49),0)</f>
        <v>14752</v>
      </c>
      <c r="S50" s="3561"/>
      <c r="T50" s="3561"/>
      <c r="U50" s="3561"/>
      <c r="V50" s="3561"/>
      <c r="W50" s="3561"/>
      <c r="X50" s="1540"/>
      <c r="Y50" s="1540"/>
      <c r="Z50" s="1540"/>
      <c r="AA50" s="1540"/>
      <c r="AB50" s="1540"/>
      <c r="AC50" s="1540"/>
    </row>
    <row r="51" spans="1:29" ht="21">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1">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0.19791463017269462</v>
      </c>
      <c r="F53" s="624" t="str">
        <f>IF(OR(E53&gt;=0.3,E53&lt;=-0.3),"超过30%","")</f>
        <v/>
      </c>
      <c r="G53" s="623">
        <f>IF(G48&lt;G49,G49/G48-1,G48/G49-1)</f>
        <v>1.0034787262509948E-2</v>
      </c>
      <c r="H53" s="624" t="str">
        <f>IF(OR(G53&gt;=0.3,G53&lt;=-0.3),"超过30%","")</f>
        <v/>
      </c>
      <c r="I53" s="623">
        <f>IF(I48&lt;I49,I49/I48-1,I48/I49-1)</f>
        <v>5.5450991747502565E-2</v>
      </c>
      <c r="J53" s="624"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1.6359782752682461E-2</v>
      </c>
      <c r="F54" s="624" t="str">
        <f>IF(OR(E54&gt;=0.2,E54&lt;=-0.2),"超过20%","")</f>
        <v/>
      </c>
      <c r="G54" s="623">
        <f>IF(G49&lt;I49,I49/G49-1,G49/I49-1)</f>
        <v>9.2949181989286256E-2</v>
      </c>
      <c r="H54" s="624" t="str">
        <f>IF(OR(G54&gt;=0.2,G54&lt;=-0.2),"超过20%","")</f>
        <v/>
      </c>
      <c r="I54" s="623">
        <f>IF(I49&lt;E49,E49/I49-1,I49/E49-1)</f>
        <v>0.11082959316635299</v>
      </c>
      <c r="J54" s="624"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0.22972972972972983</v>
      </c>
      <c r="F55" s="624" t="str">
        <f>IF(OR(E55&gt;=0.3,E55&lt;=-0.3),"超过30%","")</f>
        <v/>
      </c>
      <c r="G55" s="623">
        <f>IF(G48&lt;I48,I48/G48-1,G48/I48-1)</f>
        <v>2.5240054869684503E-2</v>
      </c>
      <c r="H55" s="624" t="str">
        <f>IF(OR(G55&gt;=0.3,G55&lt;=-0.3),"超过30%","")</f>
        <v/>
      </c>
      <c r="I55" s="623">
        <f>IF(I48&lt;E48,E48/I48-1,I48/E48-1)</f>
        <v>0.26076817558299048</v>
      </c>
      <c r="J55" s="624"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7" customFormat="1" ht="21.6"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6" t="s">
        <v>560</v>
      </c>
      <c r="B57" s="627" t="s">
        <v>561</v>
      </c>
      <c r="C57" s="1541" t="s">
        <v>1724</v>
      </c>
      <c r="D57" s="2207" t="s">
        <v>2291</v>
      </c>
      <c r="E57" s="628" t="s">
        <v>562</v>
      </c>
      <c r="F57" s="629" t="s">
        <v>563</v>
      </c>
      <c r="G57" s="3589" t="s">
        <v>2279</v>
      </c>
      <c r="H57" s="3590"/>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3.2">
      <c r="A58" s="630" t="s">
        <v>564</v>
      </c>
      <c r="B58" s="631">
        <f>C50</f>
        <v>14752</v>
      </c>
      <c r="C58" s="632">
        <v>1</v>
      </c>
      <c r="D58" s="2208">
        <v>1</v>
      </c>
      <c r="E58" s="632">
        <f>'数据-汇总表'!E8+'数据-汇总表'!E9</f>
        <v>83178.19</v>
      </c>
      <c r="F58" s="633">
        <f t="shared" ref="F58:F67" si="14">ROUND(B58*E58/10000,0)</f>
        <v>122704</v>
      </c>
      <c r="G58" s="3591"/>
      <c r="H58" s="3592"/>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565</v>
      </c>
      <c r="B59" s="635">
        <f>ROUND($C$50*C59*D59,0)</f>
        <v>2213</v>
      </c>
      <c r="C59" s="375">
        <f t="shared" ref="C59:C67" si="15">IF($C$57="北京市系数",I59,J59)</f>
        <v>0.6</v>
      </c>
      <c r="D59" s="2209">
        <v>0.25</v>
      </c>
      <c r="E59" s="636">
        <f>'数据-基础表'!K88</f>
        <v>16871</v>
      </c>
      <c r="F59" s="633">
        <f t="shared" si="14"/>
        <v>3734</v>
      </c>
      <c r="G59" s="3593" t="s">
        <v>2280</v>
      </c>
      <c r="H59" s="1928"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566</v>
      </c>
      <c r="B60" s="635">
        <f t="shared" ref="B60:B67" si="16">ROUND($C$50*C60*D60,0)</f>
        <v>1106</v>
      </c>
      <c r="C60" s="375">
        <f t="shared" si="15"/>
        <v>0.3</v>
      </c>
      <c r="D60" s="2209">
        <v>0.25</v>
      </c>
      <c r="E60" s="636">
        <v>0</v>
      </c>
      <c r="F60" s="633">
        <f t="shared" si="14"/>
        <v>0</v>
      </c>
      <c r="G60" s="3593"/>
      <c r="H60" s="1928"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567</v>
      </c>
      <c r="B61" s="635">
        <f t="shared" si="16"/>
        <v>738</v>
      </c>
      <c r="C61" s="375">
        <f t="shared" si="15"/>
        <v>0.2</v>
      </c>
      <c r="D61" s="2209">
        <v>0.25</v>
      </c>
      <c r="E61" s="636">
        <v>0</v>
      </c>
      <c r="F61" s="633">
        <f t="shared" si="14"/>
        <v>0</v>
      </c>
      <c r="G61" s="3593"/>
      <c r="H61" s="1928"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2">
      <c r="A62" s="634" t="s">
        <v>568</v>
      </c>
      <c r="B62" s="635">
        <f t="shared" si="16"/>
        <v>738</v>
      </c>
      <c r="C62" s="375">
        <f t="shared" si="15"/>
        <v>0.2</v>
      </c>
      <c r="D62" s="2209">
        <v>0.25</v>
      </c>
      <c r="E62" s="636">
        <v>0</v>
      </c>
      <c r="F62" s="633">
        <f t="shared" si="14"/>
        <v>0</v>
      </c>
      <c r="G62" s="3593"/>
      <c r="H62" s="1928"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2">
      <c r="A63" s="2311" t="s">
        <v>2326</v>
      </c>
      <c r="B63" s="635">
        <f t="shared" si="16"/>
        <v>738</v>
      </c>
      <c r="C63" s="375">
        <f t="shared" si="15"/>
        <v>0.2</v>
      </c>
      <c r="D63" s="2209">
        <v>0.25</v>
      </c>
      <c r="E63" s="638">
        <f>'数据-汇总表'!E11</f>
        <v>0</v>
      </c>
      <c r="F63" s="633">
        <f t="shared" si="14"/>
        <v>0</v>
      </c>
      <c r="G63" s="1925" t="s">
        <v>2281</v>
      </c>
      <c r="H63" s="1928"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3.2">
      <c r="A64" s="634" t="s">
        <v>569</v>
      </c>
      <c r="B64" s="635">
        <f t="shared" si="16"/>
        <v>738</v>
      </c>
      <c r="C64" s="375">
        <f t="shared" si="15"/>
        <v>0.2</v>
      </c>
      <c r="D64" s="2209">
        <v>0.25</v>
      </c>
      <c r="E64" s="638">
        <f>'数据-汇总表'!E12</f>
        <v>0</v>
      </c>
      <c r="F64" s="633">
        <f t="shared" si="14"/>
        <v>0</v>
      </c>
      <c r="G64" s="1926" t="s">
        <v>2991</v>
      </c>
      <c r="H64" s="1924"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3.2">
      <c r="A65" s="634" t="s">
        <v>570</v>
      </c>
      <c r="B65" s="635">
        <f t="shared" si="16"/>
        <v>553</v>
      </c>
      <c r="C65" s="375">
        <f t="shared" si="15"/>
        <v>0.15</v>
      </c>
      <c r="D65" s="2209">
        <v>0.25</v>
      </c>
      <c r="E65" s="638">
        <f>'数据-基础表'!AN89</f>
        <v>43328.35</v>
      </c>
      <c r="F65" s="633">
        <f t="shared" si="14"/>
        <v>2396</v>
      </c>
      <c r="G65" s="1926" t="s">
        <v>923</v>
      </c>
      <c r="H65" s="1924"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3.2">
      <c r="A66" s="634" t="s">
        <v>571</v>
      </c>
      <c r="B66" s="635">
        <f t="shared" si="16"/>
        <v>553</v>
      </c>
      <c r="C66" s="375">
        <f t="shared" si="15"/>
        <v>0.15</v>
      </c>
      <c r="D66" s="2209">
        <v>0.25</v>
      </c>
      <c r="E66" s="638">
        <f>'数据-汇总表'!E14</f>
        <v>0</v>
      </c>
      <c r="F66" s="633">
        <f t="shared" si="14"/>
        <v>0</v>
      </c>
      <c r="G66" s="1925" t="s">
        <v>2280</v>
      </c>
      <c r="H66" s="1928"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thickBot="1">
      <c r="A67" s="634" t="s">
        <v>572</v>
      </c>
      <c r="B67" s="635">
        <f t="shared" si="16"/>
        <v>553</v>
      </c>
      <c r="C67" s="375">
        <f t="shared" si="15"/>
        <v>0.15</v>
      </c>
      <c r="D67" s="2209">
        <v>0.25</v>
      </c>
      <c r="E67" s="638">
        <f>'数据-汇总表'!E15</f>
        <v>0</v>
      </c>
      <c r="F67" s="633">
        <f t="shared" si="14"/>
        <v>0</v>
      </c>
      <c r="G67" s="1927" t="s">
        <v>2281</v>
      </c>
      <c r="H67" s="1929"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thickBot="1">
      <c r="A68" s="639" t="s">
        <v>573</v>
      </c>
      <c r="B68" s="640" t="s">
        <v>17</v>
      </c>
      <c r="C68" s="640" t="s">
        <v>18</v>
      </c>
      <c r="D68" s="640" t="s">
        <v>2292</v>
      </c>
      <c r="E68" s="640">
        <f>IF(B48="楼面地价",SUM(E58:E67),'数据-汇总表'!D3)</f>
        <v>143377.54</v>
      </c>
      <c r="F68" s="641">
        <f>IF(B48="楼面地价",SUM(F58:F67),ROUND(C50*E68/10000,0))</f>
        <v>128834</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2020-7-1</v>
      </c>
      <c r="D70" s="2749">
        <f>EDATE(C70,-3)</f>
        <v>43922</v>
      </c>
      <c r="E70" s="2749">
        <f t="shared" ref="E70:O70" si="17">EDATE(D70,-3)</f>
        <v>43831</v>
      </c>
      <c r="F70" s="2749">
        <f t="shared" si="17"/>
        <v>43739</v>
      </c>
      <c r="G70" s="2749">
        <f t="shared" si="17"/>
        <v>43647</v>
      </c>
      <c r="H70" s="2749">
        <f t="shared" si="17"/>
        <v>43556</v>
      </c>
      <c r="I70" s="2749">
        <f t="shared" si="17"/>
        <v>43466</v>
      </c>
      <c r="J70" s="2749">
        <f t="shared" si="17"/>
        <v>43374</v>
      </c>
      <c r="K70" s="2749">
        <f t="shared" si="17"/>
        <v>43282</v>
      </c>
      <c r="L70" s="2749">
        <f t="shared" si="17"/>
        <v>43191</v>
      </c>
      <c r="M70" s="2749">
        <f t="shared" si="17"/>
        <v>43101</v>
      </c>
      <c r="N70" s="2749">
        <f t="shared" si="17"/>
        <v>43009</v>
      </c>
      <c r="O70" s="2127">
        <f t="shared" si="17"/>
        <v>42917</v>
      </c>
      <c r="P70" s="2125"/>
      <c r="Q70" s="2125"/>
      <c r="R70" s="2125"/>
      <c r="S70" s="2125"/>
      <c r="T70" s="2125"/>
      <c r="U70" s="2125"/>
      <c r="V70" s="2125"/>
      <c r="W70" s="2125"/>
      <c r="X70" s="2125"/>
      <c r="Y70" s="2125"/>
      <c r="Z70" s="2125"/>
      <c r="AA70" s="2125"/>
      <c r="AB70" s="2125"/>
      <c r="AC70" s="2125"/>
    </row>
    <row r="71" spans="1:29" ht="22.2"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9" customFormat="1" ht="14.4">
      <c r="A72" s="2527" t="s">
        <v>2529</v>
      </c>
      <c r="B72" s="2528"/>
      <c r="C72" s="2745" t="str">
        <f>YEAR(C70)&amp;"-"&amp;ROUNDUP(MONTH(C70)/3,0)</f>
        <v>2020-3</v>
      </c>
      <c r="D72" s="2751" t="str">
        <f>YEAR(D70)&amp;"-"&amp;ROUNDUP(MONTH(D70)/3,0)</f>
        <v>2020-2</v>
      </c>
      <c r="E72" s="2751" t="str">
        <f t="shared" ref="E72:O72" si="18">YEAR(E70)&amp;"-"&amp;ROUNDUP(MONTH(E70)/3,0)</f>
        <v>2020-1</v>
      </c>
      <c r="F72" s="2751" t="str">
        <f t="shared" si="18"/>
        <v>2019-4</v>
      </c>
      <c r="G72" s="2751" t="str">
        <f t="shared" si="18"/>
        <v>2019-3</v>
      </c>
      <c r="H72" s="2751" t="str">
        <f t="shared" si="18"/>
        <v>2019-2</v>
      </c>
      <c r="I72" s="2751" t="str">
        <f t="shared" si="18"/>
        <v>2019-1</v>
      </c>
      <c r="J72" s="2751" t="str">
        <f t="shared" si="18"/>
        <v>2018-4</v>
      </c>
      <c r="K72" s="2751" t="str">
        <f t="shared" si="18"/>
        <v>2018-3</v>
      </c>
      <c r="L72" s="2751" t="str">
        <f t="shared" si="18"/>
        <v>2018-2</v>
      </c>
      <c r="M72" s="2751" t="str">
        <f t="shared" si="18"/>
        <v>2018-1</v>
      </c>
      <c r="N72" s="2751" t="str">
        <f t="shared" si="18"/>
        <v>2017-4</v>
      </c>
      <c r="O72" s="3190" t="str">
        <f t="shared" si="18"/>
        <v>2017-3</v>
      </c>
      <c r="P72" s="2140"/>
      <c r="Q72" s="2141"/>
      <c r="R72" s="2141"/>
      <c r="S72" s="2141"/>
      <c r="T72" s="2141"/>
      <c r="U72" s="2141"/>
      <c r="V72" s="2141"/>
      <c r="W72" s="2141"/>
      <c r="X72" s="2141"/>
      <c r="Y72" s="2141"/>
      <c r="Z72" s="2141"/>
      <c r="AA72" s="2141"/>
      <c r="AB72" s="2141"/>
      <c r="AC72" s="2141"/>
    </row>
    <row r="73" spans="1:29" s="1212" customFormat="1" ht="27" customHeight="1">
      <c r="A73" s="2756" t="s">
        <v>2643</v>
      </c>
      <c r="B73" s="476" t="str">
        <f>"北京市平均增长率"&amp;TEXT(SUMIF(基准地价!N21:N25,A73,基准地价!P21:P25),"0.00%")</f>
        <v>北京市平均增长率0.00%</v>
      </c>
      <c r="C73" s="890">
        <v>100</v>
      </c>
      <c r="D73" s="727">
        <f>C73-0.2</f>
        <v>99.8</v>
      </c>
      <c r="E73" s="727">
        <f t="shared" ref="E73:O73" si="19">D73-0.2</f>
        <v>99.6</v>
      </c>
      <c r="F73" s="727">
        <f t="shared" si="19"/>
        <v>99.399999999999991</v>
      </c>
      <c r="G73" s="727">
        <f t="shared" si="19"/>
        <v>99.199999999999989</v>
      </c>
      <c r="H73" s="727">
        <f t="shared" si="19"/>
        <v>98.999999999999986</v>
      </c>
      <c r="I73" s="727">
        <f t="shared" si="19"/>
        <v>98.799999999999983</v>
      </c>
      <c r="J73" s="727">
        <f t="shared" si="19"/>
        <v>98.59999999999998</v>
      </c>
      <c r="K73" s="727">
        <f t="shared" si="19"/>
        <v>98.399999999999977</v>
      </c>
      <c r="L73" s="727">
        <f t="shared" si="19"/>
        <v>98.199999999999974</v>
      </c>
      <c r="M73" s="727">
        <f t="shared" si="19"/>
        <v>97.999999999999972</v>
      </c>
      <c r="N73" s="727">
        <f t="shared" si="19"/>
        <v>97.799999999999969</v>
      </c>
      <c r="O73" s="727">
        <f t="shared" si="19"/>
        <v>97.599999999999966</v>
      </c>
      <c r="P73" s="2138"/>
      <c r="Q73" s="1973"/>
      <c r="R73" s="1973"/>
      <c r="S73" s="1973"/>
      <c r="T73" s="1973"/>
      <c r="U73" s="1973"/>
      <c r="V73" s="1973"/>
      <c r="W73" s="1973"/>
      <c r="X73" s="1973"/>
      <c r="Y73" s="1973"/>
      <c r="Z73" s="1973"/>
      <c r="AA73" s="1973"/>
      <c r="AB73" s="1973"/>
      <c r="AC73" s="1973"/>
    </row>
    <row r="74" spans="1:29" s="1212" customFormat="1" ht="15" customHeight="1" thickBot="1">
      <c r="A74" s="2747" t="s">
        <v>2642</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4.4">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4.4"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ht="14.4">
      <c r="A77" s="661" t="s">
        <v>577</v>
      </c>
      <c r="B77" s="662" t="s">
        <v>534</v>
      </c>
      <c r="C77" s="3191" t="s">
        <v>3298</v>
      </c>
      <c r="D77" s="3191" t="s">
        <v>3299</v>
      </c>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68">
        <v>100</v>
      </c>
      <c r="D78" s="668">
        <v>98</v>
      </c>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9.4"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 thickTop="1">
      <c r="A81" s="666"/>
      <c r="B81" s="678" t="s">
        <v>538</v>
      </c>
      <c r="C81" s="679" t="str">
        <f>C82&amp;"（含）"&amp;"-"&amp;D82</f>
        <v>1（含）-2</v>
      </c>
      <c r="D81" s="679" t="str">
        <f t="shared" ref="D81:L81" si="20">D82&amp;"（含）"&amp;"-"&amp;E82</f>
        <v>2（含）-3</v>
      </c>
      <c r="E81" s="679" t="str">
        <f t="shared" si="20"/>
        <v>3（含）-4</v>
      </c>
      <c r="F81" s="679" t="str">
        <f t="shared" si="20"/>
        <v>4（含）-5</v>
      </c>
      <c r="G81" s="679" t="str">
        <f t="shared" si="20"/>
        <v>5（含）-</v>
      </c>
      <c r="H81" s="679" t="str">
        <f t="shared" si="20"/>
        <v>（含）-</v>
      </c>
      <c r="I81" s="679" t="str">
        <f t="shared" si="20"/>
        <v>（含）-</v>
      </c>
      <c r="J81" s="679" t="str">
        <f t="shared" si="20"/>
        <v>（含）-</v>
      </c>
      <c r="K81" s="679" t="str">
        <f t="shared" si="20"/>
        <v>（含）-</v>
      </c>
      <c r="L81" s="679"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c r="A82" s="666"/>
      <c r="B82" s="680"/>
      <c r="C82" s="538">
        <v>1</v>
      </c>
      <c r="D82" s="538">
        <v>2</v>
      </c>
      <c r="E82" s="538">
        <v>3</v>
      </c>
      <c r="F82" s="538">
        <v>4</v>
      </c>
      <c r="G82" s="538">
        <v>5</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4.4" thickBot="1">
      <c r="A83" s="666"/>
      <c r="B83" s="667"/>
      <c r="C83" s="676">
        <v>100</v>
      </c>
      <c r="D83" s="676">
        <f>IF($B$48="单位面积地价",C83+$K13,C83-$K13)</f>
        <v>99</v>
      </c>
      <c r="E83" s="676">
        <f t="shared" ref="E83:M83" si="21">IF($B$48="单位面积地价",D83+$K13,D83-$K13)</f>
        <v>98</v>
      </c>
      <c r="F83" s="676">
        <f t="shared" si="21"/>
        <v>97</v>
      </c>
      <c r="G83" s="676">
        <f t="shared" si="21"/>
        <v>96</v>
      </c>
      <c r="H83" s="676">
        <f t="shared" si="21"/>
        <v>95</v>
      </c>
      <c r="I83" s="676">
        <f t="shared" si="21"/>
        <v>94</v>
      </c>
      <c r="J83" s="676">
        <f t="shared" si="21"/>
        <v>93</v>
      </c>
      <c r="K83" s="676">
        <f t="shared" si="21"/>
        <v>92</v>
      </c>
      <c r="L83" s="676">
        <f t="shared" si="21"/>
        <v>91</v>
      </c>
      <c r="M83" s="676">
        <f t="shared" si="21"/>
        <v>90</v>
      </c>
      <c r="N83" s="2146"/>
      <c r="O83" s="2146"/>
      <c r="P83" s="2145"/>
      <c r="Q83" s="2138"/>
      <c r="R83" s="2125"/>
      <c r="S83" s="2125"/>
      <c r="T83" s="2125"/>
      <c r="U83" s="2125"/>
      <c r="V83" s="2125"/>
      <c r="W83" s="2125"/>
      <c r="X83" s="2125"/>
      <c r="Y83" s="2125"/>
      <c r="Z83" s="2125"/>
      <c r="AA83" s="2125"/>
      <c r="AB83" s="2125"/>
      <c r="AC83" s="2125"/>
    </row>
    <row r="84" spans="1:29" s="1331" customFormat="1" ht="15" thickTop="1">
      <c r="A84" s="684"/>
      <c r="B84" s="670" t="str">
        <f>B14</f>
        <v>配建</v>
      </c>
      <c r="C84" s="3187"/>
      <c r="D84" s="3188"/>
      <c r="E84" s="1367"/>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321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 thickTop="1">
      <c r="A86" s="684"/>
      <c r="B86" s="670" t="str">
        <f>B15</f>
        <v>自持</v>
      </c>
      <c r="C86" s="3187" t="s">
        <v>3285</v>
      </c>
      <c r="D86" s="3187" t="s">
        <v>3284</v>
      </c>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4.4" thickBot="1">
      <c r="A87" s="684"/>
      <c r="B87" s="675"/>
      <c r="C87" s="3218">
        <v>80</v>
      </c>
      <c r="D87" s="689">
        <v>100</v>
      </c>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4.4" thickTop="1">
      <c r="A88" s="684"/>
      <c r="B88" s="678">
        <f>B16</f>
        <v>0</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4.4"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4.4">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4.4" thickBot="1">
      <c r="A91" s="666"/>
      <c r="B91" s="675"/>
      <c r="C91" s="676">
        <v>100</v>
      </c>
      <c r="D91" s="676">
        <f>C91-$K17</f>
        <v>100</v>
      </c>
      <c r="E91" s="676">
        <f>D91-$K17</f>
        <v>100</v>
      </c>
      <c r="F91" s="676">
        <f>E91-$K17</f>
        <v>100</v>
      </c>
      <c r="G91" s="676">
        <f>F91-$K17</f>
        <v>100</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76">
        <v>100</v>
      </c>
      <c r="D93" s="676">
        <f>C93-$K19</f>
        <v>97</v>
      </c>
      <c r="E93" s="676">
        <f>D93-$K19</f>
        <v>94</v>
      </c>
      <c r="F93" s="676">
        <f>E93-$K19</f>
        <v>91</v>
      </c>
      <c r="G93" s="676">
        <f>F93-$K19</f>
        <v>88</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76">
        <v>100</v>
      </c>
      <c r="D97" s="676">
        <f>C97-$K23</f>
        <v>95</v>
      </c>
      <c r="E97" s="676">
        <f>D97-$K23</f>
        <v>90</v>
      </c>
      <c r="F97" s="676">
        <f>E97-$K23</f>
        <v>85</v>
      </c>
      <c r="G97" s="676">
        <f>F97-$K23</f>
        <v>80</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9.4"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4.4" thickBot="1">
      <c r="A99" s="706"/>
      <c r="B99" s="675"/>
      <c r="C99" s="709">
        <v>100</v>
      </c>
      <c r="D99" s="676">
        <f>C99-$K25</f>
        <v>98</v>
      </c>
      <c r="E99" s="676">
        <f>D99-$K25</f>
        <v>96</v>
      </c>
      <c r="F99" s="676">
        <f>E99-$K25</f>
        <v>94</v>
      </c>
      <c r="G99" s="676">
        <f>F99-$K25</f>
        <v>92</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9.4"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 thickTop="1">
      <c r="A102" s="684"/>
      <c r="B102" s="1876" t="s">
        <v>2545</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4.4"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 thickTop="1">
      <c r="A104" s="684"/>
      <c r="B104" s="2556" t="s">
        <v>2547</v>
      </c>
      <c r="C104" s="2557" t="s">
        <v>2548</v>
      </c>
      <c r="D104" s="2557" t="s">
        <v>2549</v>
      </c>
      <c r="E104" s="2557" t="s">
        <v>2550</v>
      </c>
      <c r="F104" s="2557" t="s">
        <v>2551</v>
      </c>
      <c r="G104" s="2557" t="s">
        <v>2552</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4.4" thickBot="1">
      <c r="A105" s="684"/>
      <c r="B105" s="678"/>
      <c r="C105" s="676">
        <v>100</v>
      </c>
      <c r="D105" s="676">
        <f>C105-$K31</f>
        <v>99</v>
      </c>
      <c r="E105" s="676">
        <f>D105-$K31</f>
        <v>98</v>
      </c>
      <c r="F105" s="676">
        <f>E105-$K31</f>
        <v>97</v>
      </c>
      <c r="G105" s="676">
        <f>F105-$K31</f>
        <v>96</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46"/>
      <c r="O107" s="2146"/>
      <c r="P107" s="2145"/>
      <c r="Q107" s="2138"/>
      <c r="R107" s="2125"/>
      <c r="S107" s="2125"/>
      <c r="T107" s="2125"/>
      <c r="U107" s="2125"/>
      <c r="V107" s="2125"/>
      <c r="W107" s="2125"/>
      <c r="X107" s="2125"/>
      <c r="Y107" s="2125"/>
      <c r="Z107" s="2125"/>
      <c r="AA107" s="2125"/>
      <c r="AB107" s="2125"/>
      <c r="AC107" s="2125"/>
    </row>
    <row r="108" spans="1:29" ht="29.4" thickTop="1">
      <c r="A108" s="666"/>
      <c r="B108" s="670" t="s">
        <v>548</v>
      </c>
      <c r="C108" s="3194" t="s">
        <v>3060</v>
      </c>
      <c r="D108" s="3194" t="s">
        <v>3061</v>
      </c>
      <c r="E108" s="3194" t="s">
        <v>3062</v>
      </c>
      <c r="F108" s="3194" t="s">
        <v>3063</v>
      </c>
      <c r="G108" s="3194" t="s">
        <v>3064</v>
      </c>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46"/>
      <c r="O109" s="2146"/>
      <c r="P109" s="2145"/>
      <c r="Q109" s="2138"/>
      <c r="R109" s="2125"/>
      <c r="S109" s="2125"/>
      <c r="T109" s="2125"/>
      <c r="U109" s="2125"/>
      <c r="V109" s="2125"/>
      <c r="W109" s="2125"/>
      <c r="X109" s="2125"/>
      <c r="Y109" s="2125"/>
      <c r="Z109" s="2125"/>
      <c r="AA109" s="2125"/>
      <c r="AB109" s="2125"/>
      <c r="AC109" s="2125"/>
    </row>
    <row r="110" spans="1:29" ht="15"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6"/>
      <c r="O111" s="2146"/>
      <c r="P111" s="2145"/>
      <c r="Q111" s="2138"/>
      <c r="R111" s="2125"/>
      <c r="S111" s="2125"/>
      <c r="T111" s="2125"/>
      <c r="U111" s="2125"/>
      <c r="V111" s="2125"/>
      <c r="W111" s="2125"/>
      <c r="X111" s="2125"/>
      <c r="Y111" s="2125"/>
      <c r="Z111" s="2125"/>
      <c r="AA111" s="2125"/>
      <c r="AB111" s="2125"/>
      <c r="AC111" s="2125"/>
    </row>
    <row r="112" spans="1:29" ht="14.4"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4.4"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4.4"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4.4"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31.2" customHeight="1">
      <c r="A118" s="661" t="s">
        <v>551</v>
      </c>
      <c r="B118" s="662" t="s">
        <v>593</v>
      </c>
      <c r="C118" s="701" t="str">
        <f t="shared" ref="C118:L118" si="25">C119&amp;"(含)"&amp;"-"&amp;D119</f>
        <v>0(含)-20000</v>
      </c>
      <c r="D118" s="701" t="str">
        <f t="shared" si="25"/>
        <v>20000(含)-40000</v>
      </c>
      <c r="E118" s="701" t="str">
        <f t="shared" si="25"/>
        <v>40000(含)-60000</v>
      </c>
      <c r="F118" s="701" t="str">
        <f t="shared" si="25"/>
        <v>60000(含)-</v>
      </c>
      <c r="G118" s="701" t="str">
        <f t="shared" si="25"/>
        <v>(含)-</v>
      </c>
      <c r="H118" s="701" t="str">
        <f t="shared" si="25"/>
        <v>(含)-</v>
      </c>
      <c r="I118" s="701" t="str">
        <f t="shared" si="25"/>
        <v>(含)-</v>
      </c>
      <c r="J118" s="3030" t="str">
        <f t="shared" si="25"/>
        <v>(含)-</v>
      </c>
      <c r="K118" s="3030" t="str">
        <f t="shared" si="25"/>
        <v>(含)-</v>
      </c>
      <c r="L118" s="3031" t="str">
        <f t="shared" si="25"/>
        <v>(含)-</v>
      </c>
      <c r="M118" s="303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c r="A119" s="666"/>
      <c r="B119" s="678"/>
      <c r="C119" s="3212">
        <v>0</v>
      </c>
      <c r="D119" s="3212">
        <f>C119+20000</f>
        <v>20000</v>
      </c>
      <c r="E119" s="3212">
        <f>D119+20000</f>
        <v>40000</v>
      </c>
      <c r="F119" s="3212">
        <f>E119+20000</f>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4.4" thickBot="1">
      <c r="A120" s="666"/>
      <c r="B120" s="675"/>
      <c r="C120" s="3213">
        <v>100</v>
      </c>
      <c r="D120" s="3213">
        <f>C120+1</f>
        <v>101</v>
      </c>
      <c r="E120" s="3213">
        <f>D120+1</f>
        <v>102</v>
      </c>
      <c r="F120" s="3213">
        <f>E120+1</f>
        <v>103</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195" t="s">
        <v>3065</v>
      </c>
      <c r="D121" s="3195" t="s">
        <v>3066</v>
      </c>
      <c r="E121" s="3195" t="s">
        <v>3067</v>
      </c>
      <c r="F121" s="3195" t="s">
        <v>3068</v>
      </c>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4.4"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196" t="s">
        <v>3069</v>
      </c>
      <c r="D123" s="3196" t="s">
        <v>3070</v>
      </c>
      <c r="E123" s="3196" t="s">
        <v>3071</v>
      </c>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2423</v>
      </c>
      <c r="C125" s="3196" t="s">
        <v>3072</v>
      </c>
      <c r="D125" s="3196" t="s">
        <v>3058</v>
      </c>
      <c r="E125" s="3196" t="s">
        <v>3057</v>
      </c>
      <c r="F125" s="3196" t="s">
        <v>3073</v>
      </c>
      <c r="G125" s="3196" t="s">
        <v>3074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4.4"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196" t="s">
        <v>579</v>
      </c>
      <c r="D127" s="3196" t="s">
        <v>580</v>
      </c>
      <c r="E127" s="3197" t="s">
        <v>3075</v>
      </c>
      <c r="F127" s="3197" t="s">
        <v>3076</v>
      </c>
      <c r="G127" s="3197" t="s">
        <v>3077</v>
      </c>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4.4"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46"/>
      <c r="O128" s="2146"/>
      <c r="P128" s="2145"/>
      <c r="Q128" s="2138"/>
      <c r="R128" s="2125"/>
      <c r="S128" s="2125"/>
      <c r="T128" s="2125"/>
      <c r="U128" s="2125"/>
      <c r="V128" s="2125"/>
      <c r="W128" s="2125"/>
      <c r="X128" s="2125"/>
      <c r="Y128" s="2125"/>
      <c r="Z128" s="2125"/>
      <c r="AA128" s="2125"/>
      <c r="AB128" s="2125"/>
      <c r="AC128" s="2125"/>
    </row>
    <row r="129" spans="1:29" ht="14.4"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4.4"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4.4"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4.4"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4.4"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topLeftCell="A10" workbookViewId="0">
      <selection activeCell="C18" sqref="C18"/>
    </sheetView>
  </sheetViews>
  <sheetFormatPr defaultColWidth="6.6640625" defaultRowHeight="13.2"/>
  <cols>
    <col min="1" max="1" width="9.77734375" style="2104" customWidth="1"/>
    <col min="2" max="2" width="25.77734375" style="2094" customWidth="1"/>
    <col min="3" max="3" width="10.33203125" style="2105" customWidth="1"/>
    <col min="4" max="4" width="12" style="2094" customWidth="1"/>
    <col min="5" max="5" width="11.44140625" style="2104" customWidth="1"/>
    <col min="6" max="6" width="10.109375" style="2094" customWidth="1"/>
    <col min="7" max="7" width="11.6640625" style="2094" customWidth="1"/>
    <col min="8" max="8" width="10" style="2094" customWidth="1"/>
    <col min="9" max="11" width="9.44140625" style="2094" customWidth="1"/>
    <col min="12" max="12" width="9" style="2094" customWidth="1"/>
    <col min="13" max="13" width="10.44140625" style="2094" bestFit="1" customWidth="1"/>
    <col min="14" max="14" width="9" style="2094" customWidth="1"/>
    <col min="15" max="15" width="12.109375" style="2094" customWidth="1"/>
    <col min="16" max="254" width="9" style="2094" customWidth="1"/>
    <col min="255" max="16384" width="6.6640625" style="2094"/>
  </cols>
  <sheetData>
    <row r="1" spans="1:31" s="2021" customFormat="1" ht="21">
      <c r="A1" s="2083" t="s">
        <v>466</v>
      </c>
      <c r="B1" s="2759"/>
      <c r="C1" s="2084"/>
      <c r="D1" s="2084"/>
      <c r="E1" s="2084"/>
      <c r="F1" s="2084"/>
      <c r="G1" s="2084"/>
      <c r="H1" s="2084"/>
      <c r="I1" s="2084"/>
      <c r="J1" s="2084"/>
      <c r="K1" s="419">
        <f>MATCH(B1,'数据-取费表'!A6:A16,0)+5</f>
        <v>7</v>
      </c>
    </row>
    <row r="2" spans="1:31" s="2021" customFormat="1" ht="18" customHeight="1">
      <c r="A2" s="2081" t="s">
        <v>467</v>
      </c>
      <c r="B2" s="2085">
        <f ca="1">C36</f>
        <v>88908</v>
      </c>
      <c r="C2" s="2084"/>
      <c r="D2" s="2084"/>
      <c r="E2" s="2084"/>
      <c r="F2" s="2084"/>
      <c r="G2" s="2084"/>
      <c r="H2" s="2084"/>
      <c r="I2" s="2084"/>
      <c r="J2" s="2084"/>
      <c r="K2" s="2084"/>
    </row>
    <row r="3" spans="1:31" s="2021" customFormat="1" ht="18" customHeight="1">
      <c r="A3" s="2086" t="s">
        <v>1684</v>
      </c>
      <c r="B3" s="2087">
        <f ca="1">ROUND(B2*10000/IF(B1="",'数据-汇总表'!E3,INDIRECT("'数据-取费表'!K"&amp;$K$1)),0)</f>
        <v>5734</v>
      </c>
      <c r="C3" s="2084"/>
      <c r="D3" s="2084"/>
      <c r="E3" s="2084"/>
      <c r="F3" s="2084"/>
      <c r="G3" s="2084"/>
      <c r="H3" s="2084"/>
      <c r="I3" s="2084"/>
      <c r="J3" s="2084"/>
      <c r="K3" s="2084"/>
    </row>
    <row r="4" spans="1:31" s="2021" customFormat="1" ht="18" customHeight="1">
      <c r="A4" s="423" t="s">
        <v>468</v>
      </c>
      <c r="B4" s="424">
        <f ca="1">ROUND(B2*10000/IF(B1="",'数据-汇总表'!D3,INDIRECT("'数据-取费表'!R"&amp;$K$1)),0)</f>
        <v>22073</v>
      </c>
      <c r="C4" s="425"/>
      <c r="D4" s="419"/>
      <c r="E4" s="419"/>
      <c r="F4" s="419"/>
      <c r="G4" s="419"/>
      <c r="H4" s="419"/>
      <c r="I4" s="419"/>
      <c r="J4" s="419"/>
      <c r="K4" s="419"/>
    </row>
    <row r="5" spans="1:31" s="2021" customFormat="1" ht="18" customHeight="1" thickBot="1">
      <c r="A5" s="426"/>
      <c r="B5" s="427">
        <f ca="1">ROUND(B2/(IF(B1="",'数据-汇总表'!D3,INDIRECT("'数据-取费表'!R"&amp;$K$1))/666.67),0)</f>
        <v>1472</v>
      </c>
      <c r="C5" s="428" t="s">
        <v>469</v>
      </c>
      <c r="D5" s="419"/>
      <c r="E5" s="419"/>
      <c r="F5" s="419"/>
      <c r="G5" s="419"/>
      <c r="H5" s="419"/>
      <c r="I5" s="419"/>
      <c r="J5" s="419"/>
      <c r="K5" s="419"/>
    </row>
    <row r="6" spans="1:31" s="2091" customFormat="1" ht="16.5" customHeight="1">
      <c r="A6" s="2778" t="s">
        <v>1842</v>
      </c>
      <c r="B6" s="2779"/>
      <c r="C6" s="2780">
        <f ca="1">SUM(C10:K10)</f>
        <v>212809</v>
      </c>
      <c r="D6" s="2779"/>
      <c r="E6" s="2779"/>
      <c r="F6" s="2779"/>
      <c r="G6" s="2779"/>
      <c r="H6" s="2779"/>
      <c r="I6" s="2779"/>
      <c r="J6" s="2779"/>
      <c r="K6" s="2781"/>
    </row>
    <row r="7" spans="1:31" s="2093" customFormat="1" ht="14.4">
      <c r="A7" s="2782" t="s">
        <v>470</v>
      </c>
      <c r="B7" s="2783" t="s">
        <v>471</v>
      </c>
      <c r="C7" s="433" t="s">
        <v>2991</v>
      </c>
      <c r="D7" s="433" t="s">
        <v>35</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1845</v>
      </c>
      <c r="B8" s="258" t="s">
        <v>472</v>
      </c>
      <c r="C8" s="2784">
        <f ca="1">不动产收益法商!B3</f>
        <v>21270</v>
      </c>
      <c r="D8" s="2784"/>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1846</v>
      </c>
      <c r="B9" s="258" t="s">
        <v>473</v>
      </c>
      <c r="C9" s="438">
        <f>SUMIF('数据-汇总表'!$C19:$C33,'剩余法-待开发'!C7,'数据-汇总表'!$E19:$E33)</f>
        <v>100049.19</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f>4000*35</f>
        <v>140000</v>
      </c>
      <c r="M9" s="2094">
        <v>1260</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69">
        <f ca="1">不动产收益法商!C40</f>
        <v>212809</v>
      </c>
      <c r="D10" s="2969">
        <f t="shared" ref="D10:I10" si="0">ROUND(D8*D9/10000,0)</f>
        <v>0</v>
      </c>
      <c r="E10" s="2969">
        <f t="shared" si="0"/>
        <v>0</v>
      </c>
      <c r="F10" s="2969">
        <f t="shared" si="0"/>
        <v>0</v>
      </c>
      <c r="G10" s="2969">
        <f t="shared" si="0"/>
        <v>0</v>
      </c>
      <c r="H10" s="2969">
        <f t="shared" si="0"/>
        <v>0</v>
      </c>
      <c r="I10" s="2969">
        <f t="shared" si="0"/>
        <v>0</v>
      </c>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65123</v>
      </c>
      <c r="D13" s="2794"/>
      <c r="E13" s="2795"/>
      <c r="F13" s="2796"/>
      <c r="G13" s="2762"/>
      <c r="H13" s="2763"/>
      <c r="I13" s="2763"/>
      <c r="J13" s="2763"/>
      <c r="K13" s="2764"/>
    </row>
    <row r="14" spans="1:31" s="2096" customFormat="1" ht="13.5" customHeight="1">
      <c r="A14" s="2792" t="s">
        <v>1849</v>
      </c>
      <c r="B14" s="2793" t="s">
        <v>480</v>
      </c>
      <c r="C14" s="53">
        <f ca="1">ROUND(C13*F14,0)</f>
        <v>1954</v>
      </c>
      <c r="D14" s="2794"/>
      <c r="E14" s="2795"/>
      <c r="F14" s="2797">
        <f>'数据-取费表'!B33</f>
        <v>0.03</v>
      </c>
      <c r="G14" s="2762" t="s">
        <v>481</v>
      </c>
      <c r="H14" s="2763"/>
      <c r="I14" s="2763"/>
      <c r="J14" s="2763"/>
      <c r="K14" s="2764"/>
    </row>
    <row r="15" spans="1:31" s="2096" customFormat="1" ht="13.5" customHeight="1">
      <c r="A15" s="2792" t="s">
        <v>1850</v>
      </c>
      <c r="B15" s="2793" t="s">
        <v>482</v>
      </c>
      <c r="C15" s="53">
        <f ca="1">ROUND(IF(B1="",SUMIF('数据-取费表'!C:C,"住宅",'数据-取费表'!P:P)*F15,IF(INDIRECT("'数据-取费表'!c"&amp;$K$1)="住宅",INDIRECT("'数据-取费表'!P"&amp;$K$1)*F15,0)),0)</f>
        <v>0</v>
      </c>
      <c r="D15" s="2794"/>
      <c r="E15" s="2795"/>
      <c r="F15" s="2797">
        <f>'数据-取费表'!B34</f>
        <v>0</v>
      </c>
      <c r="G15" s="2762" t="s">
        <v>483</v>
      </c>
      <c r="H15" s="2763"/>
      <c r="I15" s="2763"/>
      <c r="J15" s="2763"/>
      <c r="K15" s="2764"/>
      <c r="O15" s="3181">
        <f>F9</f>
        <v>0</v>
      </c>
    </row>
    <row r="16" spans="1:31" s="2097" customFormat="1" ht="13.5" customHeight="1">
      <c r="A16" s="2792" t="s">
        <v>1851</v>
      </c>
      <c r="B16" s="2793" t="s">
        <v>484</v>
      </c>
      <c r="C16" s="53">
        <f ca="1">ROUND(D16*E16/10000,0)</f>
        <v>3101</v>
      </c>
      <c r="D16" s="2794">
        <f ca="1">IF(B1="",'数据-汇总表'!E3,INDIRECT("'数据-取费表'!K"&amp;$K$1)+INDIRECT("'数据-取费表'!S"&amp;$K$1))</f>
        <v>155053</v>
      </c>
      <c r="E16" s="53">
        <f>'数据-取费表'!B35</f>
        <v>200</v>
      </c>
      <c r="F16" s="2797"/>
      <c r="G16" s="2762"/>
      <c r="H16" s="2763"/>
      <c r="I16" s="2763"/>
      <c r="J16" s="2763"/>
      <c r="K16" s="2764"/>
      <c r="L16" s="2096"/>
      <c r="M16" s="3189">
        <f ca="1">结果表!G19/'剩余法-待开发'!C6</f>
        <v>0.50221090273437685</v>
      </c>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977</v>
      </c>
      <c r="D17" s="472"/>
      <c r="E17" s="2798"/>
      <c r="F17" s="2799">
        <f>'数据-取费表'!B36</f>
        <v>1.4999999999999999E-2</v>
      </c>
      <c r="G17" s="258" t="s">
        <v>486</v>
      </c>
      <c r="H17" s="2765"/>
      <c r="I17" s="2765"/>
      <c r="J17" s="2765"/>
      <c r="K17" s="276"/>
    </row>
    <row r="18" spans="1:14" s="2096" customFormat="1" ht="13.5" customHeight="1">
      <c r="A18" s="2800" t="s">
        <v>1853</v>
      </c>
      <c r="B18" s="2801" t="s">
        <v>487</v>
      </c>
      <c r="C18" s="2802">
        <f ca="1">SUM(C13:C17)</f>
        <v>71155</v>
      </c>
      <c r="D18" s="2803"/>
      <c r="E18" s="465"/>
      <c r="F18" s="465"/>
      <c r="G18" s="2766" t="s">
        <v>2428</v>
      </c>
      <c r="H18" s="2767"/>
      <c r="I18" s="2767"/>
      <c r="J18" s="2767"/>
      <c r="K18" s="2768"/>
    </row>
    <row r="19" spans="1:14" s="2096" customFormat="1" ht="13.5" customHeight="1">
      <c r="A19" s="2800" t="s">
        <v>1854</v>
      </c>
      <c r="B19" s="2801" t="s">
        <v>488</v>
      </c>
      <c r="C19" s="2758">
        <f ca="1">ROUND(D19*E19/10000,0)</f>
        <v>0</v>
      </c>
      <c r="D19" s="2804">
        <f ca="1">D16</f>
        <v>155053</v>
      </c>
      <c r="E19" s="2758">
        <f>'数据-取费表'!B32</f>
        <v>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2946</v>
      </c>
      <c r="D20" s="2804"/>
      <c r="E20" s="2758"/>
      <c r="F20" s="2805"/>
      <c r="G20" s="3026"/>
      <c r="H20" s="2760"/>
      <c r="I20" s="2761" t="s">
        <v>2647</v>
      </c>
      <c r="J20" s="2767"/>
      <c r="K20" s="2768"/>
    </row>
    <row r="21" spans="1:14" s="2096" customFormat="1" ht="13.5" customHeight="1">
      <c r="A21" s="2792" t="s">
        <v>1856</v>
      </c>
      <c r="B21" s="2793" t="s">
        <v>491</v>
      </c>
      <c r="C21" s="53">
        <f ca="1">ROUND(D21*E21/10000,0)</f>
        <v>0</v>
      </c>
      <c r="D21" s="2794">
        <f ca="1">IF(B1="",'数据-汇总表'!E5,IF(INDIRECT("'数据-取费表'!c"&amp;$K$1)="住宅",INDIRECT("'数据-取费表'!k"&amp;$K$1),0))</f>
        <v>0</v>
      </c>
      <c r="E21" s="53">
        <f>'数据-取费表'!B27</f>
        <v>190</v>
      </c>
      <c r="F21" s="2797"/>
      <c r="G21" s="26"/>
      <c r="H21" s="51"/>
      <c r="I21" s="51"/>
      <c r="J21" s="51"/>
      <c r="K21" s="2769"/>
    </row>
    <row r="22" spans="1:14" s="2096" customFormat="1" ht="13.5" customHeight="1">
      <c r="A22" s="2792" t="s">
        <v>1857</v>
      </c>
      <c r="B22" s="2793" t="s">
        <v>492</v>
      </c>
      <c r="C22" s="53">
        <f ca="1">ROUND(D22*E22/10000,0)</f>
        <v>2946</v>
      </c>
      <c r="D22" s="2794">
        <f ca="1">IF(B1="",'数据-汇总表'!E6,IF(INDIRECT("'数据-取费表'!c"&amp;$K$1)="住宅",INDIRECT("'数据-取费表'!s"&amp;$K$1),INDIRECT("'数据-取费表'!k"&amp;$K$1)+INDIRECT("'数据-取费表'!s"&amp;$K$1)))</f>
        <v>155053</v>
      </c>
      <c r="E22" s="53">
        <f>'数据-取费表'!B28</f>
        <v>190</v>
      </c>
      <c r="F22" s="2797"/>
      <c r="G22" s="26"/>
      <c r="H22" s="51"/>
      <c r="I22" s="51"/>
      <c r="J22" s="51"/>
      <c r="K22" s="2769"/>
    </row>
    <row r="23" spans="1:14" s="2096" customFormat="1" ht="13.5" customHeight="1">
      <c r="A23" s="2800" t="s">
        <v>1858</v>
      </c>
      <c r="B23" s="2975" t="s">
        <v>2830</v>
      </c>
      <c r="C23" s="2802">
        <f ca="1">ROUND((C18+C19+C20)*F23,0)</f>
        <v>1112</v>
      </c>
      <c r="D23" s="465"/>
      <c r="E23" s="465"/>
      <c r="F23" s="2806">
        <f>'数据-取费表'!B37</f>
        <v>1.4999999999999999E-2</v>
      </c>
      <c r="G23" s="2762" t="s">
        <v>2429</v>
      </c>
      <c r="H23" s="2763"/>
      <c r="I23" s="2763"/>
      <c r="J23" s="2763"/>
      <c r="K23" s="2764"/>
      <c r="L23" s="2098"/>
      <c r="M23" s="2098"/>
      <c r="N23" s="2098"/>
    </row>
    <row r="24" spans="1:14" s="2096" customFormat="1" ht="13.5" customHeight="1">
      <c r="A24" s="2800" t="s">
        <v>1859</v>
      </c>
      <c r="B24" s="2975" t="s">
        <v>2833</v>
      </c>
      <c r="C24" s="2802">
        <f ca="1">ROUND(C6*F24,0)</f>
        <v>2128</v>
      </c>
      <c r="D24" s="472"/>
      <c r="E24" s="470"/>
      <c r="F24" s="2806">
        <f>'数据-取费表'!B38</f>
        <v>0.01</v>
      </c>
      <c r="G24" s="2771" t="s">
        <v>499</v>
      </c>
      <c r="H24" s="2765"/>
      <c r="I24" s="2765"/>
      <c r="J24" s="2765"/>
      <c r="K24" s="276"/>
      <c r="L24" s="2098"/>
      <c r="M24" s="2098"/>
      <c r="N24" s="2098"/>
    </row>
    <row r="25" spans="1:14" s="2099" customFormat="1" ht="13.5" customHeight="1">
      <c r="A25" s="2800" t="s">
        <v>1860</v>
      </c>
      <c r="B25" s="2975" t="s">
        <v>2831</v>
      </c>
      <c r="C25" s="464">
        <f>ROUND(F25/(1+'数据-取费表'!C42),4)</f>
        <v>2.9000000000000001E-2</v>
      </c>
      <c r="D25" s="459" t="s">
        <v>2825</v>
      </c>
      <c r="E25" s="466"/>
      <c r="F25" s="2806">
        <f>IF(项目基本情况!B8="出让",0,'数据-取费表'!B48+'数据-取费表'!B49)</f>
        <v>3.0499999999999999E-2</v>
      </c>
      <c r="G25" s="2770" t="s">
        <v>2287</v>
      </c>
      <c r="H25" s="2763"/>
      <c r="I25" s="2763"/>
      <c r="J25" s="2763"/>
      <c r="K25" s="2764"/>
    </row>
    <row r="26" spans="1:14" s="2098" customFormat="1" ht="13.5" customHeight="1">
      <c r="A26" s="2800" t="s">
        <v>1861</v>
      </c>
      <c r="B26" s="2976" t="s">
        <v>2832</v>
      </c>
      <c r="C26" s="2807">
        <f ca="1">C28</f>
        <v>3674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1857</v>
      </c>
      <c r="B28" s="2808" t="s">
        <v>2834</v>
      </c>
      <c r="C28" s="2810">
        <f ca="1">ROUND(IF('数据-取费表'!B22&lt;=1,(C18+C19+C20+C23+C24)*F26*'数据-取费表'!B24/2,(C18+C19+C20+C23+C24)*(POWER((1+F26),'数据-取费表'!B24/2)-1)),0)</f>
        <v>3674</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1862</v>
      </c>
      <c r="B29" s="2801" t="s">
        <v>497</v>
      </c>
      <c r="C29" s="2802">
        <f ca="1">ROUND(C6*F29/(1+'数据-取费表'!C42),0)</f>
        <v>11147</v>
      </c>
      <c r="D29" s="465"/>
      <c r="E29" s="465"/>
      <c r="F29" s="2977">
        <f>'数据-取费表'!B41</f>
        <v>5.5000000000000007E-2</v>
      </c>
      <c r="G29" s="2771" t="s">
        <v>498</v>
      </c>
      <c r="H29" s="2763"/>
      <c r="I29" s="2763"/>
      <c r="J29" s="2763"/>
      <c r="K29" s="2764"/>
    </row>
    <row r="30" spans="1:14" s="2101" customFormat="1" ht="13.5" customHeight="1">
      <c r="A30" s="1615" t="s">
        <v>1863</v>
      </c>
      <c r="B30" s="2812" t="s">
        <v>500</v>
      </c>
      <c r="C30" s="2807">
        <f ca="1">C31</f>
        <v>92162</v>
      </c>
      <c r="D30" s="474">
        <f ca="1">C32</f>
        <v>0.12909999999999999</v>
      </c>
      <c r="E30" s="466" t="s">
        <v>495</v>
      </c>
      <c r="F30" s="468"/>
      <c r="G30" s="2770" t="s">
        <v>2964</v>
      </c>
      <c r="H30" s="2763"/>
      <c r="I30" s="2763"/>
      <c r="J30" s="2763"/>
      <c r="K30" s="2764"/>
    </row>
    <row r="31" spans="1:14" s="2100" customFormat="1" ht="13.5" customHeight="1">
      <c r="A31" s="800" t="s">
        <v>1856</v>
      </c>
      <c r="B31" s="2808"/>
      <c r="C31" s="447">
        <f ca="1">C18+C19+C20+C23+C24+C26+C29</f>
        <v>92162</v>
      </c>
      <c r="D31" s="469"/>
      <c r="E31" s="470"/>
      <c r="F31" s="471"/>
      <c r="G31" s="258"/>
      <c r="H31" s="2765"/>
      <c r="I31" s="2765"/>
      <c r="J31" s="2765"/>
      <c r="K31" s="276"/>
    </row>
    <row r="32" spans="1:14" s="2100" customFormat="1" ht="13.5" customHeight="1">
      <c r="A32" s="800" t="s">
        <v>1857</v>
      </c>
      <c r="B32" s="2808"/>
      <c r="C32" s="53">
        <f ca="1">ROUND(C25+D26,4)</f>
        <v>0.12909999999999999</v>
      </c>
      <c r="D32" s="469"/>
      <c r="E32" s="470"/>
      <c r="F32" s="471"/>
      <c r="G32" s="258"/>
      <c r="H32" s="2765"/>
      <c r="I32" s="2765"/>
      <c r="J32" s="2765"/>
      <c r="K32" s="276"/>
    </row>
    <row r="33" spans="1:11" s="2102" customFormat="1" ht="13.5" customHeight="1">
      <c r="A33" s="2974" t="s">
        <v>2829</v>
      </c>
      <c r="B33" s="2972" t="s">
        <v>2827</v>
      </c>
      <c r="C33" s="475">
        <f ca="1">C35</f>
        <v>9281</v>
      </c>
      <c r="D33" s="464">
        <f ca="1">C34</f>
        <v>0.1235</v>
      </c>
      <c r="E33" s="466" t="s">
        <v>495</v>
      </c>
      <c r="F33" s="476">
        <f ca="1">IF(B1="",'数据-取费表'!Q16,INDIRECT("'数据-取费表'!q"&amp;$K$1))</f>
        <v>0.12</v>
      </c>
      <c r="G33" s="2766"/>
      <c r="H33" s="2767"/>
      <c r="I33" s="2767"/>
      <c r="J33" s="2767"/>
      <c r="K33" s="2768"/>
    </row>
    <row r="34" spans="1:11" s="2103" customFormat="1" ht="13.5" customHeight="1">
      <c r="A34" s="372" t="s">
        <v>1856</v>
      </c>
      <c r="B34" s="2813" t="s">
        <v>501</v>
      </c>
      <c r="C34" s="469">
        <f ca="1">ROUND((1+C25)*F33,4)</f>
        <v>0.1235</v>
      </c>
      <c r="D34" s="469"/>
      <c r="E34" s="470"/>
      <c r="F34" s="477"/>
      <c r="G34" s="258" t="s">
        <v>2288</v>
      </c>
      <c r="H34" s="2765"/>
      <c r="I34" s="2765"/>
      <c r="J34" s="2765"/>
      <c r="K34" s="276"/>
    </row>
    <row r="35" spans="1:11" s="2103" customFormat="1" ht="13.5" customHeight="1" thickBot="1">
      <c r="A35" s="1616" t="s">
        <v>1857</v>
      </c>
      <c r="B35" s="2973" t="s">
        <v>2835</v>
      </c>
      <c r="C35" s="1608">
        <f ca="1">ROUND((C18+C19+C20+C23+C24)*F33,0)</f>
        <v>9281</v>
      </c>
      <c r="D35" s="1609"/>
      <c r="E35" s="2814"/>
      <c r="F35" s="1610"/>
      <c r="G35" s="2772"/>
      <c r="H35" s="2773"/>
      <c r="I35" s="2773"/>
      <c r="J35" s="2773"/>
      <c r="K35" s="2774"/>
    </row>
    <row r="36" spans="1:11" s="2065" customFormat="1" ht="13.5" customHeight="1" thickBot="1">
      <c r="A36" s="281" t="s">
        <v>1844</v>
      </c>
      <c r="B36" s="2776"/>
      <c r="C36" s="2815">
        <f ca="1">ROUND((C6-C30-C33)/(1+D30+D33),0)</f>
        <v>88908</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4" customWidth="1"/>
    <col min="2" max="2" width="25.77734375" style="2094" customWidth="1"/>
    <col min="3" max="3" width="10.33203125" style="2105" customWidth="1"/>
    <col min="4" max="4" width="12" style="2094" customWidth="1"/>
    <col min="5" max="5" width="9.44140625" style="2104" customWidth="1"/>
    <col min="6" max="6" width="10.109375" style="2094" customWidth="1"/>
    <col min="7" max="7" width="9.44140625" style="2094" customWidth="1"/>
    <col min="8" max="8" width="10" style="2094" customWidth="1"/>
    <col min="9" max="11" width="9.44140625" style="2094" customWidth="1"/>
    <col min="12" max="12" width="9" style="2094" customWidth="1"/>
    <col min="13" max="13" width="10.44140625" style="2094" bestFit="1" customWidth="1"/>
    <col min="14" max="254" width="9" style="2094" customWidth="1"/>
    <col min="255" max="16384" width="6.6640625" style="2094"/>
  </cols>
  <sheetData>
    <row r="1" spans="1:41" s="2021" customFormat="1" ht="21">
      <c r="A1" s="418" t="s">
        <v>466</v>
      </c>
      <c r="B1" s="2759"/>
      <c r="C1" s="2084"/>
      <c r="D1" s="2084"/>
      <c r="E1" s="2084"/>
      <c r="F1" s="2084"/>
      <c r="G1" s="2084"/>
      <c r="H1" s="2084"/>
      <c r="I1" s="2084"/>
      <c r="J1" s="2084"/>
      <c r="K1" s="419">
        <f>MATCH(B1,'数据-取费表'!A6:A16,0)+5</f>
        <v>7</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2648</v>
      </c>
      <c r="B6" s="430"/>
      <c r="C6" s="1603">
        <f>SUM(C10:K10)</f>
        <v>0</v>
      </c>
      <c r="D6" s="2089"/>
      <c r="E6" s="2089"/>
      <c r="F6" s="2089"/>
      <c r="G6" s="2089"/>
      <c r="H6" s="2089"/>
      <c r="I6" s="2089"/>
      <c r="J6" s="2089"/>
      <c r="K6" s="2090"/>
    </row>
    <row r="7" spans="1:41" s="2093" customFormat="1" ht="14.4">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65123</v>
      </c>
      <c r="D13" s="448"/>
      <c r="E13" s="362"/>
      <c r="F13" s="449"/>
      <c r="G13" s="441"/>
      <c r="H13" s="444"/>
      <c r="I13" s="444"/>
      <c r="J13" s="444"/>
      <c r="K13" s="445"/>
    </row>
    <row r="14" spans="1:41" s="2096" customFormat="1" ht="13.5" customHeight="1">
      <c r="A14" s="1613" t="s">
        <v>1849</v>
      </c>
      <c r="B14" s="446" t="s">
        <v>480</v>
      </c>
      <c r="C14" s="53">
        <f ca="1">ROUND(C13*F14,0)</f>
        <v>1954</v>
      </c>
      <c r="D14" s="448"/>
      <c r="E14" s="362"/>
      <c r="F14" s="450">
        <f>'数据-取费表'!B33</f>
        <v>0.03</v>
      </c>
      <c r="G14" s="441" t="s">
        <v>502</v>
      </c>
      <c r="H14" s="444"/>
      <c r="I14" s="444"/>
      <c r="J14" s="444"/>
      <c r="K14" s="445"/>
    </row>
    <row r="15" spans="1:41" s="2096"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7" customFormat="1" ht="13.5" customHeight="1">
      <c r="A16" s="1613" t="s">
        <v>1851</v>
      </c>
      <c r="B16" s="446" t="s">
        <v>484</v>
      </c>
      <c r="C16" s="53">
        <f ca="1">ROUND(D16*E16/10000,0)</f>
        <v>3101</v>
      </c>
      <c r="D16" s="448">
        <f ca="1">IF(B1="",'数据-汇总表'!E3,INDIRECT("'数据-取费表'!K"&amp;$K$1)+INDIRECT("'数据-取费表'!S"&amp;$K$1))</f>
        <v>155053</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977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71155</v>
      </c>
      <c r="D18" s="458"/>
      <c r="E18" s="459"/>
      <c r="F18" s="459"/>
      <c r="G18" s="1319" t="s">
        <v>2430</v>
      </c>
      <c r="H18" s="444"/>
      <c r="I18" s="444"/>
      <c r="J18" s="444"/>
      <c r="K18" s="445"/>
    </row>
    <row r="19" spans="1:14" s="2099" customFormat="1" ht="13.5" customHeight="1">
      <c r="A19" s="1614" t="s">
        <v>1854</v>
      </c>
      <c r="B19" s="456" t="s">
        <v>493</v>
      </c>
      <c r="C19" s="457">
        <f ca="1">ROUND(C18*F19,0)</f>
        <v>1067</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0">
        <f>F20</f>
        <v>0.01</v>
      </c>
      <c r="D20" s="466" t="s">
        <v>505</v>
      </c>
      <c r="E20" s="466"/>
      <c r="F20" s="483">
        <f>'数据-取费表'!B38</f>
        <v>0.01</v>
      </c>
      <c r="G20" s="1319" t="s">
        <v>506</v>
      </c>
      <c r="H20" s="444"/>
      <c r="I20" s="444"/>
      <c r="J20" s="444"/>
      <c r="K20" s="445"/>
      <c r="L20" s="2101"/>
      <c r="M20" s="2101"/>
      <c r="N20" s="2101"/>
    </row>
    <row r="21" spans="1:14" s="2101" customFormat="1" ht="13.5" customHeight="1">
      <c r="A21" s="1614" t="s">
        <v>1858</v>
      </c>
      <c r="B21" s="458" t="s">
        <v>494</v>
      </c>
      <c r="C21" s="467">
        <f ca="1">C22</f>
        <v>3431</v>
      </c>
      <c r="D21" s="464">
        <f ca="1">C23</f>
        <v>5.0000000000000001E-4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2452</v>
      </c>
    </row>
    <row r="22" spans="1:14" s="2100" customFormat="1" ht="13.5" customHeight="1">
      <c r="A22" s="1613" t="s">
        <v>1848</v>
      </c>
      <c r="B22" s="1320" t="s">
        <v>2433</v>
      </c>
      <c r="C22" s="484">
        <f ca="1">ROUND(IF('数据-取费表'!B22&lt;=1,(C18+C19)*F21*'数据-取费表'!B20/2,(C18+C19)*(POWER((1+F21),'数据-取费表'!B20/2)-1)),0)</f>
        <v>3431</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20" t="s">
        <v>508</v>
      </c>
      <c r="C23" s="485">
        <f ca="1">ROUND(IF('数据-取费表'!B22&lt;=1,F20*F21*'数据-取费表'!B20/2,F20*(POWER((1+F21),'数据-取费表'!B20/2)-1)),4)</f>
        <v>5.0000000000000001E-4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2" t="s">
        <v>2828</v>
      </c>
      <c r="C24" s="475">
        <f ca="1">C25</f>
        <v>8667</v>
      </c>
      <c r="D24" s="486">
        <f ca="1">C26</f>
        <v>1.1999999999999999E-3</v>
      </c>
      <c r="E24" s="466" t="s">
        <v>507</v>
      </c>
      <c r="F24" s="476">
        <f ca="1">IF(B1="",'数据-取费表'!Q16,INDIRECT("'数据-取费表'!q"&amp;$K$1))</f>
        <v>0.12</v>
      </c>
      <c r="G24" s="441"/>
      <c r="H24" s="444"/>
      <c r="I24" s="444"/>
      <c r="J24" s="444"/>
      <c r="K24" s="445"/>
    </row>
    <row r="25" spans="1:14" s="2100" customFormat="1" ht="13.5" customHeight="1">
      <c r="A25" s="1613" t="s">
        <v>1848</v>
      </c>
      <c r="B25" s="1320" t="s">
        <v>2434</v>
      </c>
      <c r="C25" s="487">
        <f ca="1">ROUND((C18+C19)*F24,0)</f>
        <v>8667</v>
      </c>
      <c r="D25" s="469"/>
      <c r="E25" s="470"/>
      <c r="F25" s="477"/>
      <c r="G25" s="1318" t="s">
        <v>2431</v>
      </c>
      <c r="H25" s="454"/>
      <c r="I25" s="454"/>
      <c r="J25" s="454"/>
      <c r="K25" s="455"/>
    </row>
    <row r="26" spans="1:14" s="2100" customFormat="1" ht="13.5" customHeight="1">
      <c r="A26" s="1613" t="s">
        <v>1849</v>
      </c>
      <c r="B26" s="1320" t="s">
        <v>509</v>
      </c>
      <c r="C26" s="488">
        <f ca="1">ROUND(F20*F24,4)</f>
        <v>1.1999999999999999E-3</v>
      </c>
      <c r="D26" s="469"/>
      <c r="E26" s="478"/>
      <c r="F26" s="477"/>
      <c r="G26" s="1318" t="s">
        <v>510</v>
      </c>
      <c r="H26" s="454"/>
      <c r="I26" s="454"/>
      <c r="J26" s="454"/>
      <c r="K26" s="455"/>
    </row>
    <row r="27" spans="1:14" s="2100" customFormat="1" ht="13.5" customHeight="1">
      <c r="A27" s="1617" t="s">
        <v>1867</v>
      </c>
      <c r="B27" s="456" t="s">
        <v>511</v>
      </c>
      <c r="C27" s="2971">
        <f>ROUND(F27/(1+'数据-取费表'!C42),4)</f>
        <v>5.2400000000000002E-2</v>
      </c>
      <c r="D27" s="459" t="s">
        <v>2826</v>
      </c>
      <c r="E27" s="459"/>
      <c r="F27" s="463">
        <f>'数据-取费表'!B41</f>
        <v>5.5000000000000007E-2</v>
      </c>
      <c r="G27" s="1940" t="s">
        <v>2289</v>
      </c>
      <c r="H27" s="444"/>
      <c r="I27" s="444"/>
      <c r="J27" s="444"/>
      <c r="K27" s="445"/>
    </row>
    <row r="28" spans="1:14" s="2101" customFormat="1" ht="13.5" customHeight="1">
      <c r="A28" s="1617" t="s">
        <v>1868</v>
      </c>
      <c r="B28" s="473" t="s">
        <v>512</v>
      </c>
      <c r="C28" s="467">
        <f ca="1">ROUND((C18+C19+C21+C24)/(1-C20-D21-D24-C27),0)</f>
        <v>90095</v>
      </c>
      <c r="D28" s="474"/>
      <c r="E28" s="466"/>
      <c r="F28" s="468"/>
      <c r="G28" s="1319" t="s">
        <v>2432</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1865</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4.4">
      <c r="A6" s="509" t="s">
        <v>521</v>
      </c>
      <c r="B6" s="510"/>
      <c r="C6" s="3568" t="s">
        <v>522</v>
      </c>
      <c r="D6" s="3569"/>
      <c r="E6" s="3603" t="s">
        <v>523</v>
      </c>
      <c r="F6" s="3604"/>
      <c r="G6" s="3568" t="s">
        <v>524</v>
      </c>
      <c r="H6" s="3569"/>
      <c r="I6" s="3568" t="s">
        <v>525</v>
      </c>
      <c r="J6" s="3569"/>
      <c r="K6" s="511" t="s">
        <v>526</v>
      </c>
      <c r="L6" s="2113"/>
      <c r="M6" s="2114"/>
      <c r="N6" s="2114"/>
      <c r="O6" s="2114"/>
      <c r="P6" s="3570" t="s">
        <v>527</v>
      </c>
      <c r="Q6" s="3571"/>
      <c r="R6" s="3576" t="s">
        <v>523</v>
      </c>
      <c r="S6" s="3577"/>
      <c r="T6" s="3576" t="s">
        <v>524</v>
      </c>
      <c r="U6" s="3577"/>
      <c r="V6" s="3563" t="s">
        <v>525</v>
      </c>
      <c r="W6" s="3563"/>
      <c r="X6" s="1548"/>
      <c r="Y6" s="3576" t="s">
        <v>527</v>
      </c>
      <c r="Z6" s="3577"/>
      <c r="AA6" s="3565" t="s">
        <v>523</v>
      </c>
      <c r="AB6" s="3566" t="s">
        <v>524</v>
      </c>
      <c r="AC6" s="3565" t="s">
        <v>525</v>
      </c>
    </row>
    <row r="7" spans="1:29">
      <c r="A7" s="512"/>
      <c r="B7" s="513"/>
      <c r="C7" s="3584" t="s">
        <v>2922</v>
      </c>
      <c r="D7" s="3585"/>
      <c r="E7" s="3605" t="s">
        <v>2923</v>
      </c>
      <c r="F7" s="3606"/>
      <c r="G7" s="3584" t="s">
        <v>2924</v>
      </c>
      <c r="H7" s="3585"/>
      <c r="I7" s="3584" t="s">
        <v>2925</v>
      </c>
      <c r="J7" s="3585"/>
      <c r="K7" s="511"/>
      <c r="L7" s="2113"/>
      <c r="M7" s="2114"/>
      <c r="N7" s="2114"/>
      <c r="O7" s="2114"/>
      <c r="P7" s="3572"/>
      <c r="Q7" s="3573"/>
      <c r="R7" s="3578"/>
      <c r="S7" s="3579"/>
      <c r="T7" s="3578"/>
      <c r="U7" s="3579"/>
      <c r="V7" s="3563"/>
      <c r="W7" s="3563"/>
      <c r="X7" s="1548"/>
      <c r="Y7" s="3578"/>
      <c r="Z7" s="3579"/>
      <c r="AA7" s="3566"/>
      <c r="AB7" s="3566"/>
      <c r="AC7" s="3566"/>
    </row>
    <row r="8" spans="1:29" ht="15" thickBot="1">
      <c r="A8" s="514"/>
      <c r="B8" s="515"/>
      <c r="C8" s="3582" t="s">
        <v>2926</v>
      </c>
      <c r="D8" s="3583"/>
      <c r="E8" s="3601" t="s">
        <v>2926</v>
      </c>
      <c r="F8" s="3602"/>
      <c r="G8" s="3582" t="s">
        <v>2926</v>
      </c>
      <c r="H8" s="3583"/>
      <c r="I8" s="3582" t="s">
        <v>2926</v>
      </c>
      <c r="J8" s="3583"/>
      <c r="K8" s="511" t="s">
        <v>528</v>
      </c>
      <c r="L8" s="2113"/>
      <c r="M8" s="2114"/>
      <c r="N8" s="2114"/>
      <c r="O8" s="2114"/>
      <c r="P8" s="3574"/>
      <c r="Q8" s="3575"/>
      <c r="R8" s="3578"/>
      <c r="S8" s="3579"/>
      <c r="T8" s="3580"/>
      <c r="U8" s="3581"/>
      <c r="V8" s="3563"/>
      <c r="W8" s="3563"/>
      <c r="X8" s="1548"/>
      <c r="Y8" s="3580"/>
      <c r="Z8" s="3581"/>
      <c r="AA8" s="3567"/>
      <c r="AB8" s="3567"/>
      <c r="AC8" s="3567"/>
    </row>
    <row r="9" spans="1:29" s="1212" customFormat="1" ht="15" thickBot="1">
      <c r="A9" s="2861"/>
      <c r="B9" s="2868" t="s">
        <v>529</v>
      </c>
      <c r="C9" s="516">
        <f>'数据-取费表'!B2</f>
        <v>44027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594" t="s">
        <v>530</v>
      </c>
      <c r="Q9" s="3596"/>
      <c r="R9" s="1549" t="s">
        <v>8</v>
      </c>
      <c r="S9" s="1550">
        <f t="shared" ref="S9:S17" si="0">F9</f>
        <v>0</v>
      </c>
      <c r="T9" s="1549" t="s">
        <v>8</v>
      </c>
      <c r="U9" s="1550">
        <f t="shared" ref="U9:U17" si="1">H9</f>
        <v>0</v>
      </c>
      <c r="V9" s="1549" t="s">
        <v>8</v>
      </c>
      <c r="W9" s="1550">
        <f t="shared" ref="W9:W17" si="2">J9</f>
        <v>0</v>
      </c>
      <c r="X9" s="1551"/>
      <c r="Y9" s="3594" t="s">
        <v>530</v>
      </c>
      <c r="Z9" s="3595"/>
      <c r="AA9" s="1552" t="e">
        <f>D9/F9</f>
        <v>#DIV/0!</v>
      </c>
      <c r="AB9" s="1552" t="e">
        <f>D9/H9</f>
        <v>#DIV/0!</v>
      </c>
      <c r="AC9" s="1552" t="e">
        <f>D9/J9</f>
        <v>#DIV/0!</v>
      </c>
    </row>
    <row r="10" spans="1:29" s="1212" customFormat="1" ht="1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594" t="s">
        <v>533</v>
      </c>
      <c r="Q10" s="3595"/>
      <c r="R10" s="1549" t="s">
        <v>8</v>
      </c>
      <c r="S10" s="1550">
        <f t="shared" si="0"/>
        <v>0</v>
      </c>
      <c r="T10" s="1549" t="s">
        <v>8</v>
      </c>
      <c r="U10" s="1550">
        <f t="shared" si="1"/>
        <v>0</v>
      </c>
      <c r="V10" s="1549" t="s">
        <v>8</v>
      </c>
      <c r="W10" s="1550">
        <f t="shared" si="2"/>
        <v>0</v>
      </c>
      <c r="X10" s="1551"/>
      <c r="Y10" s="3594" t="s">
        <v>533</v>
      </c>
      <c r="Z10" s="3595"/>
      <c r="AA10" s="1552" t="e">
        <f t="shared" ref="AA10:AA42" si="3">D10/F10</f>
        <v>#DIV/0!</v>
      </c>
      <c r="AB10" s="1552" t="e">
        <f t="shared" ref="AB10:AB42" si="4">D10/H10</f>
        <v>#DIV/0!</v>
      </c>
      <c r="AC10" s="1552" t="e">
        <f t="shared" ref="AC10:AC42" si="5">D10/J10</f>
        <v>#DIV/0!</v>
      </c>
    </row>
    <row r="11" spans="1:29" s="1212" customFormat="1" ht="14.4">
      <c r="A11" s="2863"/>
      <c r="B11" s="2870" t="s">
        <v>2752</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562" t="s">
        <v>535</v>
      </c>
      <c r="Q11" s="1143" t="str">
        <f t="shared" ref="Q11:Q17" si="6">B11</f>
        <v>用途</v>
      </c>
      <c r="R11" s="1549" t="s">
        <v>8</v>
      </c>
      <c r="S11" s="1550">
        <f t="shared" si="0"/>
        <v>100</v>
      </c>
      <c r="T11" s="1549" t="s">
        <v>8</v>
      </c>
      <c r="U11" s="1550">
        <f t="shared" si="1"/>
        <v>100</v>
      </c>
      <c r="V11" s="1549" t="s">
        <v>8</v>
      </c>
      <c r="W11" s="1550">
        <f t="shared" si="2"/>
        <v>100</v>
      </c>
      <c r="X11" s="1551"/>
      <c r="Y11" s="3504" t="s">
        <v>536</v>
      </c>
      <c r="Z11" s="1142" t="str">
        <f t="shared" ref="Z11:Z17" si="7">Q11</f>
        <v>用途</v>
      </c>
      <c r="AA11" s="1552">
        <f t="shared" si="3"/>
        <v>1</v>
      </c>
      <c r="AB11" s="1552">
        <f t="shared" si="4"/>
        <v>1</v>
      </c>
      <c r="AC11" s="1552">
        <f t="shared" si="5"/>
        <v>1</v>
      </c>
    </row>
    <row r="12" spans="1:29" s="1330" customFormat="1" ht="28.8">
      <c r="A12" s="2864"/>
      <c r="B12" s="2869" t="s">
        <v>2753</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562"/>
      <c r="Q12" s="1143" t="str">
        <f t="shared" si="6"/>
        <v>土地使用年限（年）</v>
      </c>
      <c r="R12" s="1549" t="s">
        <v>8</v>
      </c>
      <c r="S12" s="1550">
        <f t="shared" si="0"/>
        <v>101</v>
      </c>
      <c r="T12" s="1549" t="s">
        <v>8</v>
      </c>
      <c r="U12" s="1550">
        <f t="shared" si="1"/>
        <v>101</v>
      </c>
      <c r="V12" s="1549" t="s">
        <v>8</v>
      </c>
      <c r="W12" s="1550">
        <f t="shared" si="2"/>
        <v>101</v>
      </c>
      <c r="X12" s="1551"/>
      <c r="Y12" s="3504"/>
      <c r="Z12" s="1142" t="str">
        <f t="shared" si="7"/>
        <v>土地使用年限（年）</v>
      </c>
      <c r="AA12" s="1552">
        <f t="shared" si="3"/>
        <v>0.99009900990099009</v>
      </c>
      <c r="AB12" s="1552">
        <f t="shared" si="4"/>
        <v>0.99009900990099009</v>
      </c>
      <c r="AC12" s="1552">
        <f t="shared" si="5"/>
        <v>0.99009900990099009</v>
      </c>
    </row>
    <row r="13" spans="1:29" ht="15">
      <c r="A13" s="2865"/>
      <c r="B13" s="2869"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562"/>
      <c r="Q13" s="1143" t="str">
        <f t="shared" si="6"/>
        <v>容积率</v>
      </c>
      <c r="R13" s="1549" t="s">
        <v>8</v>
      </c>
      <c r="S13" s="1550" t="e">
        <f t="shared" si="0"/>
        <v>#N/A</v>
      </c>
      <c r="T13" s="1549" t="s">
        <v>8</v>
      </c>
      <c r="U13" s="1550" t="e">
        <f t="shared" si="1"/>
        <v>#N/A</v>
      </c>
      <c r="V13" s="1549" t="s">
        <v>8</v>
      </c>
      <c r="W13" s="1550" t="e">
        <f t="shared" si="2"/>
        <v>#N/A</v>
      </c>
      <c r="X13" s="1551"/>
      <c r="Y13" s="3504"/>
      <c r="Z13" s="1142" t="str">
        <f t="shared" si="7"/>
        <v>容积率</v>
      </c>
      <c r="AA13" s="1552" t="e">
        <f t="shared" si="3"/>
        <v>#N/A</v>
      </c>
      <c r="AB13" s="1552" t="e">
        <f t="shared" si="4"/>
        <v>#N/A</v>
      </c>
      <c r="AC13" s="1552"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562"/>
      <c r="Q14" s="1143">
        <f t="shared" si="6"/>
        <v>111</v>
      </c>
      <c r="R14" s="1549" t="s">
        <v>8</v>
      </c>
      <c r="S14" s="1550">
        <f t="shared" si="0"/>
        <v>100</v>
      </c>
      <c r="T14" s="1549" t="s">
        <v>8</v>
      </c>
      <c r="U14" s="1550">
        <f t="shared" si="1"/>
        <v>100</v>
      </c>
      <c r="V14" s="1549" t="s">
        <v>8</v>
      </c>
      <c r="W14" s="1550">
        <f t="shared" si="2"/>
        <v>100</v>
      </c>
      <c r="X14" s="1551"/>
      <c r="Y14" s="3504"/>
      <c r="Z14" s="1142">
        <f t="shared" si="7"/>
        <v>111</v>
      </c>
      <c r="AA14" s="1552">
        <f>D14/F14</f>
        <v>1</v>
      </c>
      <c r="AB14" s="1552">
        <f>D14/H14</f>
        <v>1</v>
      </c>
      <c r="AC14" s="1552">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562"/>
      <c r="Q15" s="1143">
        <f t="shared" si="6"/>
        <v>111</v>
      </c>
      <c r="R15" s="1549" t="s">
        <v>8</v>
      </c>
      <c r="S15" s="1550">
        <f t="shared" si="0"/>
        <v>100</v>
      </c>
      <c r="T15" s="1549" t="s">
        <v>8</v>
      </c>
      <c r="U15" s="1550">
        <f t="shared" si="1"/>
        <v>100</v>
      </c>
      <c r="V15" s="1549" t="s">
        <v>8</v>
      </c>
      <c r="W15" s="1550">
        <f t="shared" si="2"/>
        <v>100</v>
      </c>
      <c r="X15" s="1551"/>
      <c r="Y15" s="3504"/>
      <c r="Z15" s="1142">
        <f t="shared" si="7"/>
        <v>111</v>
      </c>
      <c r="AA15" s="1552">
        <f t="shared" si="3"/>
        <v>1</v>
      </c>
      <c r="AB15" s="1552">
        <f t="shared" si="4"/>
        <v>1</v>
      </c>
      <c r="AC15" s="1552">
        <f t="shared" si="5"/>
        <v>1</v>
      </c>
    </row>
    <row r="16" spans="1:29" ht="15.6"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562"/>
      <c r="Q16" s="1143">
        <f t="shared" si="6"/>
        <v>111</v>
      </c>
      <c r="R16" s="1549" t="s">
        <v>8</v>
      </c>
      <c r="S16" s="1550">
        <f t="shared" si="0"/>
        <v>100</v>
      </c>
      <c r="T16" s="1549" t="s">
        <v>8</v>
      </c>
      <c r="U16" s="1550">
        <f t="shared" si="1"/>
        <v>100</v>
      </c>
      <c r="V16" s="1549" t="s">
        <v>8</v>
      </c>
      <c r="W16" s="1550">
        <f t="shared" si="2"/>
        <v>100</v>
      </c>
      <c r="X16" s="1551"/>
      <c r="Y16" s="3504"/>
      <c r="Z16" s="1142">
        <f t="shared" si="7"/>
        <v>111</v>
      </c>
      <c r="AA16" s="1552">
        <f t="shared" si="3"/>
        <v>1</v>
      </c>
      <c r="AB16" s="1552">
        <f t="shared" si="4"/>
        <v>1</v>
      </c>
      <c r="AC16" s="1552">
        <f t="shared" si="5"/>
        <v>1</v>
      </c>
    </row>
    <row r="17" spans="1:29" ht="69">
      <c r="A17" s="2859"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597" t="s">
        <v>540</v>
      </c>
      <c r="Q17" s="1553" t="str">
        <f t="shared" si="6"/>
        <v>产业集聚程度</v>
      </c>
      <c r="R17" s="1554" t="s">
        <v>8</v>
      </c>
      <c r="S17" s="1555">
        <f t="shared" si="0"/>
        <v>100</v>
      </c>
      <c r="T17" s="1554" t="s">
        <v>8</v>
      </c>
      <c r="U17" s="1555">
        <f t="shared" si="1"/>
        <v>100</v>
      </c>
      <c r="V17" s="1554" t="s">
        <v>8</v>
      </c>
      <c r="W17" s="1555">
        <f t="shared" si="2"/>
        <v>100</v>
      </c>
      <c r="X17" s="1548"/>
      <c r="Y17" s="3597"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2"/>
      <c r="M18" s="2114"/>
      <c r="N18" s="2114"/>
      <c r="O18" s="2121"/>
      <c r="P18" s="3598"/>
      <c r="Q18" s="1553"/>
      <c r="R18" s="1554"/>
      <c r="S18" s="1555"/>
      <c r="T18" s="1554"/>
      <c r="U18" s="1555"/>
      <c r="V18" s="1554"/>
      <c r="W18" s="1555"/>
      <c r="X18" s="1548"/>
      <c r="Y18" s="3598"/>
      <c r="Z18" s="1556"/>
      <c r="AA18" s="1557">
        <v>1</v>
      </c>
      <c r="AB18" s="1557">
        <v>1</v>
      </c>
      <c r="AC18" s="1557">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598"/>
      <c r="Q19" s="1553" t="str">
        <f>B19</f>
        <v>交通便捷度</v>
      </c>
      <c r="R19" s="1554" t="s">
        <v>8</v>
      </c>
      <c r="S19" s="1555">
        <f>F19</f>
        <v>100</v>
      </c>
      <c r="T19" s="1554" t="s">
        <v>8</v>
      </c>
      <c r="U19" s="1555">
        <f>H19</f>
        <v>100</v>
      </c>
      <c r="V19" s="1554" t="s">
        <v>8</v>
      </c>
      <c r="W19" s="1555">
        <f>J19</f>
        <v>100</v>
      </c>
      <c r="X19" s="1548"/>
      <c r="Y19" s="3598"/>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2"/>
      <c r="M20" s="2114"/>
      <c r="N20" s="2114"/>
      <c r="O20" s="2121"/>
      <c r="P20" s="3598"/>
      <c r="Q20" s="1553"/>
      <c r="R20" s="1554"/>
      <c r="S20" s="1555"/>
      <c r="T20" s="1554"/>
      <c r="U20" s="1555"/>
      <c r="V20" s="1554"/>
      <c r="W20" s="1555"/>
      <c r="X20" s="1548"/>
      <c r="Y20" s="3598"/>
      <c r="Z20" s="1556"/>
      <c r="AA20" s="1557">
        <v>1</v>
      </c>
      <c r="AB20" s="1557">
        <v>1</v>
      </c>
      <c r="AC20" s="1557">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598"/>
      <c r="Q21" s="1553" t="str">
        <f t="shared" ref="Q21:Q35" si="8">B21</f>
        <v>区域土地利用方向</v>
      </c>
      <c r="R21" s="1554" t="s">
        <v>8</v>
      </c>
      <c r="S21" s="1555">
        <f>F21</f>
        <v>100</v>
      </c>
      <c r="T21" s="1554" t="s">
        <v>8</v>
      </c>
      <c r="U21" s="1555">
        <f>H21</f>
        <v>100</v>
      </c>
      <c r="V21" s="1554" t="s">
        <v>8</v>
      </c>
      <c r="W21" s="1555">
        <f>J21</f>
        <v>100</v>
      </c>
      <c r="X21" s="1548"/>
      <c r="Y21" s="3598"/>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2"/>
      <c r="M22" s="2114"/>
      <c r="N22" s="2114"/>
      <c r="O22" s="2121"/>
      <c r="P22" s="3598"/>
      <c r="Q22" s="1553"/>
      <c r="R22" s="1554"/>
      <c r="S22" s="1555"/>
      <c r="T22" s="1554"/>
      <c r="U22" s="1555"/>
      <c r="V22" s="1554"/>
      <c r="W22" s="1555"/>
      <c r="X22" s="1548"/>
      <c r="Y22" s="3598"/>
      <c r="Z22" s="1556"/>
      <c r="AA22" s="1557"/>
      <c r="AB22" s="1557"/>
      <c r="AC22" s="1557"/>
    </row>
    <row r="23" spans="1:29" ht="82.8">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598"/>
      <c r="Q23" s="1553" t="str">
        <f t="shared" si="8"/>
        <v>环境状况</v>
      </c>
      <c r="R23" s="1554" t="s">
        <v>8</v>
      </c>
      <c r="S23" s="1555">
        <f>F23</f>
        <v>100</v>
      </c>
      <c r="T23" s="1554" t="s">
        <v>8</v>
      </c>
      <c r="U23" s="1555">
        <f>H23</f>
        <v>100</v>
      </c>
      <c r="V23" s="1554" t="s">
        <v>8</v>
      </c>
      <c r="W23" s="1555">
        <f>J23</f>
        <v>100</v>
      </c>
      <c r="X23" s="1548"/>
      <c r="Y23" s="3598"/>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2"/>
      <c r="M24" s="2114"/>
      <c r="N24" s="2114"/>
      <c r="O24" s="2121"/>
      <c r="P24" s="3598"/>
      <c r="Q24" s="1553"/>
      <c r="R24" s="1554"/>
      <c r="S24" s="1555"/>
      <c r="T24" s="1554"/>
      <c r="U24" s="1555"/>
      <c r="V24" s="1554"/>
      <c r="W24" s="1555"/>
      <c r="X24" s="1548"/>
      <c r="Y24" s="3598"/>
      <c r="Z24" s="1556"/>
      <c r="AA24" s="1557">
        <v>1</v>
      </c>
      <c r="AB24" s="1557">
        <v>1</v>
      </c>
      <c r="AC24" s="1557">
        <v>1</v>
      </c>
    </row>
    <row r="25" spans="1:29" s="1212" customFormat="1" ht="41.4">
      <c r="A25" s="574"/>
      <c r="B25" s="2552"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598"/>
      <c r="Q25" s="1143" t="str">
        <f t="shared" si="8"/>
        <v>公共配套设施</v>
      </c>
      <c r="R25" s="1549" t="s">
        <v>8</v>
      </c>
      <c r="S25" s="1550">
        <f>F25</f>
        <v>100</v>
      </c>
      <c r="T25" s="1549" t="s">
        <v>8</v>
      </c>
      <c r="U25" s="1550">
        <f>H25</f>
        <v>100</v>
      </c>
      <c r="V25" s="1549" t="s">
        <v>8</v>
      </c>
      <c r="W25" s="1550">
        <f>J25</f>
        <v>100</v>
      </c>
      <c r="X25" s="1551"/>
      <c r="Y25" s="3598"/>
      <c r="Z25" s="1142" t="str">
        <f>Q25</f>
        <v>公共配套设施</v>
      </c>
      <c r="AA25" s="1557">
        <f>D25/F25</f>
        <v>1</v>
      </c>
      <c r="AB25" s="1557">
        <f>D25/H25</f>
        <v>1</v>
      </c>
      <c r="AC25" s="1557">
        <f>D25/J25</f>
        <v>1</v>
      </c>
    </row>
    <row r="26" spans="1:29" s="1212" customFormat="1" ht="15">
      <c r="A26" s="574"/>
      <c r="B26" s="592"/>
      <c r="C26" s="2551"/>
      <c r="D26" s="552"/>
      <c r="E26" s="551"/>
      <c r="F26" s="552"/>
      <c r="G26" s="551"/>
      <c r="H26" s="552"/>
      <c r="I26" s="573"/>
      <c r="J26" s="552"/>
      <c r="K26" s="528"/>
      <c r="L26" s="2115"/>
      <c r="M26" s="2116"/>
      <c r="N26" s="2116"/>
      <c r="O26" s="2117"/>
      <c r="P26" s="3598"/>
      <c r="Q26" s="1143"/>
      <c r="R26" s="1549"/>
      <c r="S26" s="1550"/>
      <c r="T26" s="1549"/>
      <c r="U26" s="1550"/>
      <c r="V26" s="1549"/>
      <c r="W26" s="1550"/>
      <c r="X26" s="1551"/>
      <c r="Y26" s="3598"/>
      <c r="Z26" s="1142"/>
      <c r="AA26" s="1552">
        <v>1</v>
      </c>
      <c r="AB26" s="1552">
        <v>1</v>
      </c>
      <c r="AC26" s="1552">
        <v>1</v>
      </c>
    </row>
    <row r="27" spans="1:29" s="1212" customFormat="1" ht="41.4">
      <c r="A27" s="574"/>
      <c r="B27" s="2552"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598"/>
      <c r="Q27" s="2537" t="str">
        <f>B27</f>
        <v>基础设施水平</v>
      </c>
      <c r="R27" s="1549" t="s">
        <v>8</v>
      </c>
      <c r="S27" s="1550">
        <f>F27</f>
        <v>100</v>
      </c>
      <c r="T27" s="1549" t="s">
        <v>8</v>
      </c>
      <c r="U27" s="1550">
        <f>H27</f>
        <v>100</v>
      </c>
      <c r="V27" s="1549" t="s">
        <v>8</v>
      </c>
      <c r="W27" s="1550">
        <f>J27</f>
        <v>100</v>
      </c>
      <c r="X27" s="1551"/>
      <c r="Y27" s="3598"/>
      <c r="Z27" s="2534" t="str">
        <f>Q27</f>
        <v>基础设施水平</v>
      </c>
      <c r="AA27" s="1557">
        <f>D27/F27</f>
        <v>1</v>
      </c>
      <c r="AB27" s="1557">
        <f>D27/H27</f>
        <v>1</v>
      </c>
      <c r="AC27" s="1557">
        <f>D27/J27</f>
        <v>1</v>
      </c>
    </row>
    <row r="28" spans="1:29" s="1212" customFormat="1" ht="15">
      <c r="A28" s="574"/>
      <c r="B28" s="592"/>
      <c r="C28" s="2551"/>
      <c r="D28" s="552"/>
      <c r="E28" s="576"/>
      <c r="F28" s="552"/>
      <c r="G28" s="576"/>
      <c r="H28" s="552"/>
      <c r="I28" s="576"/>
      <c r="J28" s="552"/>
      <c r="K28" s="528"/>
      <c r="L28" s="2115"/>
      <c r="M28" s="2116"/>
      <c r="N28" s="2116"/>
      <c r="O28" s="2117"/>
      <c r="P28" s="3598"/>
      <c r="Q28" s="2537"/>
      <c r="R28" s="1549"/>
      <c r="S28" s="1550"/>
      <c r="T28" s="1549"/>
      <c r="U28" s="1550"/>
      <c r="V28" s="1549"/>
      <c r="W28" s="1550"/>
      <c r="X28" s="1551"/>
      <c r="Y28" s="3598"/>
      <c r="Z28" s="2534"/>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598"/>
      <c r="Q29" s="1553" t="str">
        <f t="shared" si="8"/>
        <v>临街状况</v>
      </c>
      <c r="R29" s="1554" t="s">
        <v>8</v>
      </c>
      <c r="S29" s="1555">
        <f t="shared" ref="S29:S42" si="9">F29</f>
        <v>100</v>
      </c>
      <c r="T29" s="1554" t="s">
        <v>8</v>
      </c>
      <c r="U29" s="1555">
        <f t="shared" ref="U29:U42" si="10">H29</f>
        <v>100</v>
      </c>
      <c r="V29" s="1554" t="s">
        <v>8</v>
      </c>
      <c r="W29" s="1555">
        <f t="shared" ref="W29:W42" si="11">J29</f>
        <v>100</v>
      </c>
      <c r="X29" s="1548"/>
      <c r="Y29" s="3598"/>
      <c r="Z29" s="1556" t="str">
        <f t="shared" ref="Z29:Z42" si="12">Q29</f>
        <v>临街状况</v>
      </c>
      <c r="AA29" s="1557">
        <f t="shared" si="3"/>
        <v>1</v>
      </c>
      <c r="AB29" s="1557">
        <f t="shared" si="4"/>
        <v>1</v>
      </c>
      <c r="AC29" s="1557">
        <f t="shared" si="5"/>
        <v>1</v>
      </c>
    </row>
    <row r="30" spans="1:29" ht="28.8">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598"/>
      <c r="Q30" s="1553" t="str">
        <f t="shared" si="8"/>
        <v>毗邻道路的类型与等级</v>
      </c>
      <c r="R30" s="1554" t="s">
        <v>8</v>
      </c>
      <c r="S30" s="1555">
        <f t="shared" si="9"/>
        <v>100</v>
      </c>
      <c r="T30" s="1554" t="s">
        <v>8</v>
      </c>
      <c r="U30" s="1555">
        <f t="shared" si="10"/>
        <v>100</v>
      </c>
      <c r="V30" s="1554" t="s">
        <v>8</v>
      </c>
      <c r="W30" s="1555">
        <f t="shared" si="11"/>
        <v>100</v>
      </c>
      <c r="X30" s="1548"/>
      <c r="Y30" s="3598"/>
      <c r="Z30" s="1556" t="str">
        <f t="shared" si="12"/>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2"/>
      <c r="M31" s="2114"/>
      <c r="N31" s="2114"/>
      <c r="O31" s="2121"/>
      <c r="P31" s="3598"/>
      <c r="Q31" s="1553"/>
      <c r="R31" s="1554"/>
      <c r="S31" s="1555"/>
      <c r="T31" s="1554"/>
      <c r="U31" s="1555"/>
      <c r="V31" s="1554"/>
      <c r="W31" s="1555"/>
      <c r="X31" s="1548"/>
      <c r="Y31" s="3598"/>
      <c r="Z31" s="1556"/>
      <c r="AA31" s="1557">
        <v>1</v>
      </c>
      <c r="AB31" s="1557">
        <v>1</v>
      </c>
      <c r="AC31" s="1557">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598"/>
      <c r="Q32" s="1553" t="str">
        <f t="shared" si="8"/>
        <v>土地级别</v>
      </c>
      <c r="R32" s="1554" t="s">
        <v>8</v>
      </c>
      <c r="S32" s="1555">
        <f t="shared" si="9"/>
        <v>100</v>
      </c>
      <c r="T32" s="1554" t="s">
        <v>8</v>
      </c>
      <c r="U32" s="1555">
        <f t="shared" si="10"/>
        <v>100</v>
      </c>
      <c r="V32" s="1554" t="s">
        <v>8</v>
      </c>
      <c r="W32" s="1555">
        <f t="shared" si="11"/>
        <v>100</v>
      </c>
      <c r="X32" s="1548"/>
      <c r="Y32" s="3598"/>
      <c r="Z32" s="1556" t="str">
        <f t="shared" si="12"/>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598"/>
      <c r="Q33" s="1553">
        <f t="shared" si="8"/>
        <v>111</v>
      </c>
      <c r="R33" s="1554" t="s">
        <v>8</v>
      </c>
      <c r="S33" s="1555">
        <f t="shared" si="9"/>
        <v>100</v>
      </c>
      <c r="T33" s="1554" t="s">
        <v>8</v>
      </c>
      <c r="U33" s="1555">
        <f t="shared" si="10"/>
        <v>100</v>
      </c>
      <c r="V33" s="1554" t="s">
        <v>8</v>
      </c>
      <c r="W33" s="1555">
        <f t="shared" si="11"/>
        <v>100</v>
      </c>
      <c r="X33" s="1548"/>
      <c r="Y33" s="3598"/>
      <c r="Z33" s="1556">
        <f t="shared" si="12"/>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599" t="s">
        <v>550</v>
      </c>
      <c r="Q34" s="1553">
        <f t="shared" si="8"/>
        <v>111</v>
      </c>
      <c r="R34" s="1554" t="s">
        <v>8</v>
      </c>
      <c r="S34" s="1555">
        <f t="shared" si="9"/>
        <v>100</v>
      </c>
      <c r="T34" s="1554" t="s">
        <v>8</v>
      </c>
      <c r="U34" s="1555">
        <f t="shared" si="10"/>
        <v>100</v>
      </c>
      <c r="V34" s="1554" t="s">
        <v>8</v>
      </c>
      <c r="W34" s="1555">
        <f t="shared" si="11"/>
        <v>100</v>
      </c>
      <c r="X34" s="1548"/>
      <c r="Y34" s="3600" t="s">
        <v>550</v>
      </c>
      <c r="Z34" s="1556">
        <f t="shared" si="12"/>
        <v>111</v>
      </c>
      <c r="AA34" s="1557">
        <f t="shared" si="3"/>
        <v>1</v>
      </c>
      <c r="AB34" s="1557">
        <f t="shared" si="4"/>
        <v>1</v>
      </c>
      <c r="AC34" s="1557">
        <f t="shared" si="5"/>
        <v>1</v>
      </c>
    </row>
    <row r="35" spans="1:29" s="1331" customFormat="1" ht="15.6"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600"/>
      <c r="Q35" s="1553">
        <f t="shared" si="8"/>
        <v>111</v>
      </c>
      <c r="R35" s="1558" t="s">
        <v>8</v>
      </c>
      <c r="S35" s="1559">
        <f t="shared" si="9"/>
        <v>100</v>
      </c>
      <c r="T35" s="1558" t="s">
        <v>8</v>
      </c>
      <c r="U35" s="1559">
        <f t="shared" si="10"/>
        <v>100</v>
      </c>
      <c r="V35" s="1558" t="s">
        <v>8</v>
      </c>
      <c r="W35" s="1559">
        <f t="shared" si="11"/>
        <v>100</v>
      </c>
      <c r="X35" s="1560"/>
      <c r="Y35" s="3600"/>
      <c r="Z35" s="1561">
        <f t="shared" si="12"/>
        <v>111</v>
      </c>
      <c r="AA35" s="1557">
        <f t="shared" si="3"/>
        <v>1</v>
      </c>
      <c r="AB35" s="1557">
        <f t="shared" si="4"/>
        <v>1</v>
      </c>
      <c r="AC35" s="1557">
        <f t="shared" si="5"/>
        <v>1</v>
      </c>
    </row>
    <row r="36" spans="1:29" ht="15">
      <c r="A36" s="2857"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600"/>
      <c r="Q36" s="1553" t="str">
        <f>B36</f>
        <v>宗地面积</v>
      </c>
      <c r="R36" s="1554" t="s">
        <v>8</v>
      </c>
      <c r="S36" s="1555" t="e">
        <f t="shared" si="9"/>
        <v>#N/A</v>
      </c>
      <c r="T36" s="1554" t="s">
        <v>8</v>
      </c>
      <c r="U36" s="1555" t="e">
        <f t="shared" si="10"/>
        <v>#N/A</v>
      </c>
      <c r="V36" s="1554" t="s">
        <v>8</v>
      </c>
      <c r="W36" s="1555" t="e">
        <f t="shared" si="11"/>
        <v>#N/A</v>
      </c>
      <c r="X36" s="1548"/>
      <c r="Y36" s="3600"/>
      <c r="Z36" s="1556" t="str">
        <f t="shared" si="12"/>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600"/>
      <c r="Q37" s="1553" t="str">
        <f t="shared" ref="Q37:Q42" si="13">B37</f>
        <v>宗地形状</v>
      </c>
      <c r="R37" s="1554" t="s">
        <v>8</v>
      </c>
      <c r="S37" s="1555">
        <f t="shared" si="9"/>
        <v>100</v>
      </c>
      <c r="T37" s="1554" t="s">
        <v>8</v>
      </c>
      <c r="U37" s="1555">
        <f t="shared" si="10"/>
        <v>100</v>
      </c>
      <c r="V37" s="1554" t="s">
        <v>8</v>
      </c>
      <c r="W37" s="1555">
        <f t="shared" si="11"/>
        <v>100</v>
      </c>
      <c r="X37" s="1548"/>
      <c r="Y37" s="3600"/>
      <c r="Z37" s="1556" t="str">
        <f t="shared" si="12"/>
        <v>宗地形状</v>
      </c>
      <c r="AA37" s="1557">
        <f t="shared" si="3"/>
        <v>1</v>
      </c>
      <c r="AB37" s="1557">
        <f t="shared" si="4"/>
        <v>1</v>
      </c>
      <c r="AC37" s="1557">
        <f t="shared" si="5"/>
        <v>1</v>
      </c>
    </row>
    <row r="38" spans="1:29" s="1212" customFormat="1" ht="15">
      <c r="A38" s="597"/>
      <c r="B38" s="1875"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600"/>
      <c r="Q38" s="1553" t="str">
        <f t="shared" si="13"/>
        <v>宗地开发程度</v>
      </c>
      <c r="R38" s="1549" t="s">
        <v>8</v>
      </c>
      <c r="S38" s="1550">
        <f t="shared" si="9"/>
        <v>100</v>
      </c>
      <c r="T38" s="1549" t="s">
        <v>8</v>
      </c>
      <c r="U38" s="1550">
        <f t="shared" si="10"/>
        <v>100</v>
      </c>
      <c r="V38" s="1549" t="s">
        <v>8</v>
      </c>
      <c r="W38" s="1550">
        <f t="shared" si="11"/>
        <v>100</v>
      </c>
      <c r="X38" s="1551"/>
      <c r="Y38" s="3600"/>
      <c r="Z38" s="1142" t="str">
        <f t="shared" si="12"/>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600" t="s">
        <v>601</v>
      </c>
      <c r="Q39" s="1553" t="str">
        <f t="shared" si="13"/>
        <v>工程地质条件</v>
      </c>
      <c r="R39" s="1554" t="s">
        <v>8</v>
      </c>
      <c r="S39" s="1555">
        <f t="shared" si="9"/>
        <v>100</v>
      </c>
      <c r="T39" s="1554" t="s">
        <v>8</v>
      </c>
      <c r="U39" s="1555">
        <f t="shared" si="10"/>
        <v>100</v>
      </c>
      <c r="V39" s="1554" t="s">
        <v>8</v>
      </c>
      <c r="W39" s="1555">
        <f t="shared" si="11"/>
        <v>100</v>
      </c>
      <c r="X39" s="1548"/>
      <c r="Y39" s="3600" t="s">
        <v>601</v>
      </c>
      <c r="Z39" s="1556" t="str">
        <f t="shared" si="12"/>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600"/>
      <c r="Q40" s="1553">
        <f t="shared" si="13"/>
        <v>111</v>
      </c>
      <c r="R40" s="1554" t="s">
        <v>8</v>
      </c>
      <c r="S40" s="1555">
        <f t="shared" si="9"/>
        <v>100</v>
      </c>
      <c r="T40" s="1554" t="s">
        <v>8</v>
      </c>
      <c r="U40" s="1555">
        <f t="shared" si="10"/>
        <v>100</v>
      </c>
      <c r="V40" s="1554" t="s">
        <v>8</v>
      </c>
      <c r="W40" s="1555">
        <f t="shared" si="11"/>
        <v>100</v>
      </c>
      <c r="X40" s="1548"/>
      <c r="Y40" s="3600"/>
      <c r="Z40" s="1556">
        <f t="shared" si="12"/>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600"/>
      <c r="Q41" s="1553">
        <f t="shared" si="13"/>
        <v>111</v>
      </c>
      <c r="R41" s="1554" t="s">
        <v>8</v>
      </c>
      <c r="S41" s="1555">
        <f t="shared" si="9"/>
        <v>100</v>
      </c>
      <c r="T41" s="1554" t="s">
        <v>8</v>
      </c>
      <c r="U41" s="1555">
        <f t="shared" si="10"/>
        <v>100</v>
      </c>
      <c r="V41" s="1554" t="s">
        <v>8</v>
      </c>
      <c r="W41" s="1555">
        <f t="shared" si="11"/>
        <v>100</v>
      </c>
      <c r="X41" s="1548"/>
      <c r="Y41" s="3600"/>
      <c r="Z41" s="1556">
        <f t="shared" si="12"/>
        <v>111</v>
      </c>
      <c r="AA41" s="1557">
        <f t="shared" si="3"/>
        <v>1</v>
      </c>
      <c r="AB41" s="1557">
        <f t="shared" si="4"/>
        <v>1</v>
      </c>
      <c r="AC41" s="1557">
        <f t="shared" si="5"/>
        <v>1</v>
      </c>
    </row>
    <row r="42" spans="1:29" s="1331"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600"/>
      <c r="Q42" s="1553">
        <f t="shared" si="13"/>
        <v>111</v>
      </c>
      <c r="R42" s="1558" t="s">
        <v>8</v>
      </c>
      <c r="S42" s="1559">
        <f t="shared" si="9"/>
        <v>100</v>
      </c>
      <c r="T42" s="1558" t="s">
        <v>8</v>
      </c>
      <c r="U42" s="1559">
        <f t="shared" si="10"/>
        <v>100</v>
      </c>
      <c r="V42" s="1558" t="s">
        <v>8</v>
      </c>
      <c r="W42" s="1559">
        <f t="shared" si="11"/>
        <v>100</v>
      </c>
      <c r="X42" s="1560"/>
      <c r="Y42" s="3600"/>
      <c r="Z42" s="1561">
        <f t="shared" si="12"/>
        <v>111</v>
      </c>
      <c r="AA42" s="1557">
        <f t="shared" si="3"/>
        <v>1</v>
      </c>
      <c r="AB42" s="1557">
        <f t="shared" si="4"/>
        <v>1</v>
      </c>
      <c r="AC42" s="1557">
        <f t="shared" si="5"/>
        <v>1</v>
      </c>
    </row>
    <row r="43" spans="1:29" ht="14.4">
      <c r="A43" s="604" t="s">
        <v>556</v>
      </c>
      <c r="B43" s="605" t="s">
        <v>2927</v>
      </c>
      <c r="C43" s="606" t="s">
        <v>1</v>
      </c>
      <c r="D43" s="607"/>
      <c r="E43" s="608"/>
      <c r="F43" s="609"/>
      <c r="G43" s="610"/>
      <c r="H43" s="611"/>
      <c r="I43" s="608"/>
      <c r="J43" s="611"/>
      <c r="K43" s="1332"/>
      <c r="L43" s="2124"/>
      <c r="M43" s="2114"/>
      <c r="N43" s="2114"/>
      <c r="O43" s="2125"/>
      <c r="P43" s="3562" t="str">
        <f>A43</f>
        <v>成交单价</v>
      </c>
      <c r="Q43" s="3562"/>
      <c r="R43" s="3563">
        <f>E43</f>
        <v>0</v>
      </c>
      <c r="S43" s="3563"/>
      <c r="T43" s="3563">
        <f>G43</f>
        <v>0</v>
      </c>
      <c r="U43" s="3563"/>
      <c r="V43" s="3563">
        <f>I43</f>
        <v>0</v>
      </c>
      <c r="W43" s="3563"/>
      <c r="X43" s="1540"/>
      <c r="Y43" s="1562"/>
      <c r="Z43" s="1540"/>
      <c r="AA43" s="1540"/>
      <c r="AB43" s="1540"/>
      <c r="AC43" s="1540"/>
    </row>
    <row r="44" spans="1:29" ht="15" thickBot="1">
      <c r="A44" s="612" t="s">
        <v>2689</v>
      </c>
      <c r="B44" s="613"/>
      <c r="C44" s="614" t="e">
        <f>R45</f>
        <v>#DIV/0!</v>
      </c>
      <c r="D44" s="615"/>
      <c r="E44" s="614" t="e">
        <f>R44</f>
        <v>#DIV/0!</v>
      </c>
      <c r="F44" s="616"/>
      <c r="G44" s="617" t="e">
        <f>T44</f>
        <v>#DIV/0!</v>
      </c>
      <c r="H44" s="615"/>
      <c r="I44" s="614" t="e">
        <f>V44</f>
        <v>#DIV/0!</v>
      </c>
      <c r="J44" s="615"/>
      <c r="K44" s="1333"/>
      <c r="L44" s="2124"/>
      <c r="M44" s="2114"/>
      <c r="N44" s="2114"/>
      <c r="O44" s="2125"/>
      <c r="P44" s="3562" t="str">
        <f>A44</f>
        <v>比较价格（元/平方米）</v>
      </c>
      <c r="Q44" s="3562"/>
      <c r="R44" s="3564" t="e">
        <f>ROUND(PRODUCT(R43,AA9:AA42),0)</f>
        <v>#DIV/0!</v>
      </c>
      <c r="S44" s="3564"/>
      <c r="T44" s="3564" t="e">
        <f>ROUND(PRODUCT(T43,AB9:AB42),0)</f>
        <v>#DIV/0!</v>
      </c>
      <c r="U44" s="3564"/>
      <c r="V44" s="3564" t="e">
        <f>ROUND(PRODUCT(V43,AC9:AC42),0)</f>
        <v>#DIV/0!</v>
      </c>
      <c r="W44" s="3564"/>
      <c r="X44" s="1540"/>
      <c r="Y44" s="1540"/>
      <c r="Z44" s="1540"/>
      <c r="AA44" s="1540"/>
      <c r="AB44" s="1540"/>
      <c r="AC44" s="1540"/>
    </row>
    <row r="45" spans="1:29" ht="15" thickBot="1">
      <c r="A45" s="618" t="s">
        <v>2928</v>
      </c>
      <c r="B45" s="619"/>
      <c r="C45" s="620" t="e">
        <f>R45</f>
        <v>#DIV/0!</v>
      </c>
      <c r="D45" s="620"/>
      <c r="E45" s="620"/>
      <c r="F45" s="620"/>
      <c r="G45" s="620"/>
      <c r="H45" s="620"/>
      <c r="I45" s="620"/>
      <c r="J45" s="620"/>
      <c r="K45" s="1334"/>
      <c r="L45" s="2124"/>
      <c r="M45" s="2114"/>
      <c r="N45" s="2114"/>
      <c r="O45" s="2125"/>
      <c r="P45" s="3559" t="str">
        <f>A45</f>
        <v>估价对象XX用房的比较价格（楼面单价，元/平方米）</v>
      </c>
      <c r="Q45" s="3560"/>
      <c r="R45" s="3561" t="e">
        <f>ROUND(AVERAGE(R44:V44),0)</f>
        <v>#DIV/0!</v>
      </c>
      <c r="S45" s="3561"/>
      <c r="T45" s="3561"/>
      <c r="U45" s="3561"/>
      <c r="V45" s="3561"/>
      <c r="W45" s="3561"/>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4.4"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8.8">
      <c r="A52" s="626" t="s">
        <v>560</v>
      </c>
      <c r="B52" s="627" t="s">
        <v>561</v>
      </c>
      <c r="C52" s="1541" t="s">
        <v>1724</v>
      </c>
      <c r="D52" s="2207" t="s">
        <v>2291</v>
      </c>
      <c r="E52" s="628" t="s">
        <v>562</v>
      </c>
      <c r="F52" s="1931" t="s">
        <v>563</v>
      </c>
      <c r="G52" s="3607" t="s">
        <v>2282</v>
      </c>
      <c r="H52" s="3608"/>
      <c r="I52" s="1932" t="s">
        <v>1943</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3.2">
      <c r="A53" s="630" t="s">
        <v>564</v>
      </c>
      <c r="B53" s="631" t="e">
        <f>C45</f>
        <v>#DIV/0!</v>
      </c>
      <c r="C53" s="632">
        <v>1</v>
      </c>
      <c r="D53" s="2208">
        <v>1</v>
      </c>
      <c r="E53" s="632">
        <f>'数据-汇总表'!E8+'数据-汇总表'!E9</f>
        <v>83178.19</v>
      </c>
      <c r="F53" s="1930" t="e">
        <f t="shared" ref="F53:F62" si="14">ROUND(B53*E53/10000,0)</f>
        <v>#DIV/0!</v>
      </c>
      <c r="G53" s="3609"/>
      <c r="H53" s="3610"/>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3.2">
      <c r="A54" s="634" t="s">
        <v>565</v>
      </c>
      <c r="B54" s="635" t="e">
        <f>ROUND($C$45*C54*D54,0)</f>
        <v>#DIV/0!</v>
      </c>
      <c r="C54" s="375">
        <f t="shared" ref="C54:C62" si="15">IF($C$52="北京市系数",I54,J54)</f>
        <v>0.6</v>
      </c>
      <c r="D54" s="2209">
        <v>0.25</v>
      </c>
      <c r="E54" s="636"/>
      <c r="F54" s="1930" t="e">
        <f t="shared" si="14"/>
        <v>#DIV/0!</v>
      </c>
      <c r="G54" s="3611" t="s">
        <v>2283</v>
      </c>
      <c r="H54" s="1934" t="str">
        <f>项目基本情况!B43</f>
        <v>八级</v>
      </c>
      <c r="I54" s="1933">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3.2">
      <c r="A55" s="634" t="s">
        <v>566</v>
      </c>
      <c r="B55" s="635" t="e">
        <f t="shared" ref="B55:B62" si="16">ROUND($C$45*C55*D55,0)</f>
        <v>#DIV/0!</v>
      </c>
      <c r="C55" s="375">
        <f t="shared" si="15"/>
        <v>0.3</v>
      </c>
      <c r="D55" s="2209">
        <v>0.25</v>
      </c>
      <c r="E55" s="636"/>
      <c r="F55" s="1930" t="e">
        <f t="shared" si="14"/>
        <v>#DIV/0!</v>
      </c>
      <c r="G55" s="3611"/>
      <c r="H55" s="1935" t="str">
        <f>项目基本情况!B43</f>
        <v>八级</v>
      </c>
      <c r="I55" s="1933">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3.2">
      <c r="A56" s="634" t="s">
        <v>567</v>
      </c>
      <c r="B56" s="635" t="e">
        <f t="shared" si="16"/>
        <v>#DIV/0!</v>
      </c>
      <c r="C56" s="375">
        <f t="shared" si="15"/>
        <v>0.2</v>
      </c>
      <c r="D56" s="2209">
        <v>0.25</v>
      </c>
      <c r="E56" s="636"/>
      <c r="F56" s="1930" t="e">
        <f t="shared" si="14"/>
        <v>#DIV/0!</v>
      </c>
      <c r="G56" s="3611"/>
      <c r="H56" s="1935" t="str">
        <f>项目基本情况!B43</f>
        <v>八级</v>
      </c>
      <c r="I56" s="1933">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3.2">
      <c r="A57" s="634" t="s">
        <v>568</v>
      </c>
      <c r="B57" s="635" t="e">
        <f t="shared" si="16"/>
        <v>#DIV/0!</v>
      </c>
      <c r="C57" s="375">
        <f t="shared" si="15"/>
        <v>0.2</v>
      </c>
      <c r="D57" s="2209">
        <v>0.25</v>
      </c>
      <c r="E57" s="636"/>
      <c r="F57" s="1930" t="e">
        <f t="shared" si="14"/>
        <v>#DIV/0!</v>
      </c>
      <c r="G57" s="3611"/>
      <c r="H57" s="1935" t="str">
        <f>项目基本情况!B43</f>
        <v>八级</v>
      </c>
      <c r="I57" s="1933">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3.2">
      <c r="A58" s="2311" t="s">
        <v>2326</v>
      </c>
      <c r="B58" s="635" t="e">
        <f t="shared" si="16"/>
        <v>#DIV/0!</v>
      </c>
      <c r="C58" s="375">
        <f t="shared" si="15"/>
        <v>0.2</v>
      </c>
      <c r="D58" s="2209">
        <v>0.25</v>
      </c>
      <c r="E58" s="638">
        <f>'数据-汇总表'!E11</f>
        <v>0</v>
      </c>
      <c r="F58" s="1930" t="e">
        <f t="shared" si="14"/>
        <v>#DIV/0!</v>
      </c>
      <c r="G58" s="1936" t="s">
        <v>2284</v>
      </c>
      <c r="H58" s="1935" t="str">
        <f>项目基本情况!C43</f>
        <v>八级</v>
      </c>
      <c r="I58" s="1933">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569</v>
      </c>
      <c r="B59" s="635" t="e">
        <f t="shared" si="16"/>
        <v>#DIV/0!</v>
      </c>
      <c r="C59" s="375">
        <f t="shared" si="15"/>
        <v>0.2</v>
      </c>
      <c r="D59" s="2209">
        <v>0.25</v>
      </c>
      <c r="E59" s="638">
        <f>'数据-汇总表'!E12</f>
        <v>0</v>
      </c>
      <c r="F59" s="1930" t="e">
        <f t="shared" si="14"/>
        <v>#DIV/0!</v>
      </c>
      <c r="G59" s="1926" t="s">
        <v>1677</v>
      </c>
      <c r="H59" s="1934" t="str">
        <f>IF(G59="商业",项目基本情况!B43,IF(G59="办公",项目基本情况!C43,IF(G59="住宅",项目基本情况!D43,项目基本情况!E43)))</f>
        <v>八级</v>
      </c>
      <c r="I59" s="1933">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570</v>
      </c>
      <c r="B60" s="635" t="e">
        <f t="shared" si="16"/>
        <v>#DIV/0!</v>
      </c>
      <c r="C60" s="375">
        <f t="shared" si="15"/>
        <v>0.15</v>
      </c>
      <c r="D60" s="2209">
        <v>0.25</v>
      </c>
      <c r="E60" s="638">
        <f>'数据-汇总表'!E13</f>
        <v>0</v>
      </c>
      <c r="F60" s="1930" t="e">
        <f t="shared" si="14"/>
        <v>#DIV/0!</v>
      </c>
      <c r="G60" s="1926" t="s">
        <v>923</v>
      </c>
      <c r="H60" s="1934" t="str">
        <f>IF(G60="商业",项目基本情况!B43,IF(G60="办公",项目基本情况!C43,IF(G60="住宅",项目基本情况!D43,项目基本情况!E43)))</f>
        <v>八级</v>
      </c>
      <c r="I60" s="1933">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571</v>
      </c>
      <c r="B61" s="635" t="e">
        <f t="shared" si="16"/>
        <v>#DIV/0!</v>
      </c>
      <c r="C61" s="375">
        <f t="shared" si="15"/>
        <v>0.15</v>
      </c>
      <c r="D61" s="2209">
        <v>0.25</v>
      </c>
      <c r="E61" s="638">
        <f>'数据-汇总表'!E14</f>
        <v>0</v>
      </c>
      <c r="F61" s="1930" t="e">
        <f t="shared" si="14"/>
        <v>#DIV/0!</v>
      </c>
      <c r="G61" s="1936" t="s">
        <v>2283</v>
      </c>
      <c r="H61" s="1935" t="str">
        <f>项目基本情况!B43</f>
        <v>八级</v>
      </c>
      <c r="I61" s="1933">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thickBot="1">
      <c r="A62" s="634" t="s">
        <v>572</v>
      </c>
      <c r="B62" s="635" t="e">
        <f t="shared" si="16"/>
        <v>#DIV/0!</v>
      </c>
      <c r="C62" s="375">
        <f t="shared" si="15"/>
        <v>0.15</v>
      </c>
      <c r="D62" s="2209">
        <v>0.25</v>
      </c>
      <c r="E62" s="638">
        <f>'数据-汇总表'!E15</f>
        <v>0</v>
      </c>
      <c r="F62" s="1930" t="e">
        <f t="shared" si="14"/>
        <v>#DIV/0!</v>
      </c>
      <c r="G62" s="1937" t="s">
        <v>2284</v>
      </c>
      <c r="H62" s="1938" t="str">
        <f>项目基本情况!C43</f>
        <v>八级</v>
      </c>
      <c r="I62" s="1933">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thickBot="1">
      <c r="A63" s="639" t="s">
        <v>573</v>
      </c>
      <c r="B63" s="640" t="s">
        <v>17</v>
      </c>
      <c r="C63" s="640" t="s">
        <v>18</v>
      </c>
      <c r="D63" s="640" t="s">
        <v>2292</v>
      </c>
      <c r="E63" s="640">
        <f>IF(B43="楼面地价",SUM(E53:E62),'数据-汇总表'!D3)</f>
        <v>40278.800000000003</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2020-7-1</v>
      </c>
      <c r="D65" s="2749">
        <f>EDATE(C65,-3)</f>
        <v>43922</v>
      </c>
      <c r="E65" s="2749">
        <f t="shared" ref="E65:N65" si="17">EDATE(D65,-3)</f>
        <v>43831</v>
      </c>
      <c r="F65" s="2749">
        <f t="shared" si="17"/>
        <v>43739</v>
      </c>
      <c r="G65" s="2749">
        <f t="shared" si="17"/>
        <v>43647</v>
      </c>
      <c r="H65" s="2749">
        <f t="shared" si="17"/>
        <v>43556</v>
      </c>
      <c r="I65" s="2749">
        <f t="shared" si="17"/>
        <v>43466</v>
      </c>
      <c r="J65" s="2749">
        <f t="shared" si="17"/>
        <v>43374</v>
      </c>
      <c r="K65" s="2749">
        <f t="shared" si="17"/>
        <v>43282</v>
      </c>
      <c r="L65" s="2749">
        <f t="shared" si="17"/>
        <v>43191</v>
      </c>
      <c r="M65" s="2749">
        <f t="shared" si="17"/>
        <v>43101</v>
      </c>
      <c r="N65" s="2749">
        <f t="shared" si="17"/>
        <v>43009</v>
      </c>
      <c r="O65" s="2125"/>
      <c r="P65" s="2125"/>
      <c r="Q65" s="2125"/>
      <c r="R65" s="2125"/>
      <c r="S65" s="2125"/>
      <c r="T65" s="2125"/>
      <c r="U65" s="2125"/>
      <c r="V65" s="2125"/>
      <c r="W65" s="2125"/>
      <c r="X65" s="2125"/>
      <c r="Y65" s="2125"/>
      <c r="Z65" s="2125"/>
      <c r="AA65" s="2125"/>
      <c r="AB65" s="2125"/>
      <c r="AC65" s="2125"/>
    </row>
    <row r="66" spans="1:29" ht="22.2"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9" customFormat="1" ht="14.4">
      <c r="A67" s="2527" t="s">
        <v>2530</v>
      </c>
      <c r="B67" s="643"/>
      <c r="C67" s="2745" t="str">
        <f>YEAR(C65)&amp;"-"&amp;ROUNDUP(MONTH(C65)/3,0)</f>
        <v>2020-3</v>
      </c>
      <c r="D67" s="2751" t="str">
        <f t="shared" ref="D67:N67" si="18">YEAR(D65)&amp;"-"&amp;ROUNDUP(MONTH(D65)/3,0)</f>
        <v>2020-2</v>
      </c>
      <c r="E67" s="2751" t="str">
        <f t="shared" si="18"/>
        <v>2020-1</v>
      </c>
      <c r="F67" s="2751" t="str">
        <f t="shared" si="18"/>
        <v>2019-4</v>
      </c>
      <c r="G67" s="2751" t="str">
        <f t="shared" si="18"/>
        <v>2019-3</v>
      </c>
      <c r="H67" s="2751" t="str">
        <f t="shared" si="18"/>
        <v>2019-2</v>
      </c>
      <c r="I67" s="2751" t="str">
        <f t="shared" si="18"/>
        <v>2019-1</v>
      </c>
      <c r="J67" s="2751" t="str">
        <f t="shared" si="18"/>
        <v>2018-4</v>
      </c>
      <c r="K67" s="2751" t="str">
        <f t="shared" si="18"/>
        <v>2018-3</v>
      </c>
      <c r="L67" s="2751" t="str">
        <f t="shared" si="18"/>
        <v>2018-2</v>
      </c>
      <c r="M67" s="2751" t="str">
        <f t="shared" si="18"/>
        <v>2018-1</v>
      </c>
      <c r="N67" s="2751" t="str">
        <f t="shared" si="18"/>
        <v>2017-4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2645</v>
      </c>
      <c r="B68" s="476" t="str">
        <f>"北京市平均增长率"&amp;TEXT(基准地价!P24,"0.00%")</f>
        <v>北京市平均增长率0.00%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4.4">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4.4"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ht="14.4">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4.4"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9.4"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678" t="s">
        <v>538</v>
      </c>
      <c r="C76" s="679" t="str">
        <f>C77&amp;"（含）"&amp;"-"&amp;D77</f>
        <v>（含）-</v>
      </c>
      <c r="D76" s="679" t="str">
        <f t="shared" ref="D76:L76" si="19">D77&amp;"（含）"&amp;"-"&amp;E77</f>
        <v>（含）-</v>
      </c>
      <c r="E76" s="679" t="str">
        <f t="shared" si="19"/>
        <v>（含）-</v>
      </c>
      <c r="F76" s="679" t="str">
        <f t="shared" si="19"/>
        <v>（含）-</v>
      </c>
      <c r="G76" s="679" t="str">
        <f t="shared" si="19"/>
        <v>（含）-</v>
      </c>
      <c r="H76" s="679" t="str">
        <f t="shared" si="19"/>
        <v>（含）-</v>
      </c>
      <c r="I76" s="679" t="str">
        <f t="shared" si="19"/>
        <v>（含）-</v>
      </c>
      <c r="J76" s="679" t="str">
        <f t="shared" si="19"/>
        <v>（含）-</v>
      </c>
      <c r="K76" s="679" t="str">
        <f t="shared" si="19"/>
        <v>（含）-</v>
      </c>
      <c r="L76" s="679" t="str">
        <f t="shared" si="19"/>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76">
        <v>100</v>
      </c>
      <c r="D78" s="676">
        <f>IF($B$43="单位面积地价",C78+$K13,C78-$K13)</f>
        <v>100</v>
      </c>
      <c r="E78" s="676">
        <f t="shared" ref="E78:M78" si="20">IF($B$43="单位面积地价",D78+$K13,D78-$K13)</f>
        <v>100</v>
      </c>
      <c r="F78" s="676">
        <f t="shared" si="20"/>
        <v>100</v>
      </c>
      <c r="G78" s="676">
        <f t="shared" si="20"/>
        <v>100</v>
      </c>
      <c r="H78" s="676">
        <f t="shared" si="20"/>
        <v>100</v>
      </c>
      <c r="I78" s="676">
        <f t="shared" si="20"/>
        <v>100</v>
      </c>
      <c r="J78" s="676">
        <f t="shared" si="20"/>
        <v>100</v>
      </c>
      <c r="K78" s="676">
        <f t="shared" si="20"/>
        <v>100</v>
      </c>
      <c r="L78" s="676">
        <f t="shared" si="20"/>
        <v>100</v>
      </c>
      <c r="M78" s="676">
        <f t="shared" si="20"/>
        <v>100</v>
      </c>
      <c r="N78" s="2146"/>
      <c r="O78" s="2146"/>
      <c r="P78" s="2145"/>
      <c r="Q78" s="2138"/>
      <c r="R78" s="2125"/>
      <c r="S78" s="2125"/>
      <c r="T78" s="2125"/>
      <c r="U78" s="2125"/>
      <c r="V78" s="2125"/>
      <c r="W78" s="2125"/>
      <c r="X78" s="2125"/>
      <c r="Y78" s="2125"/>
      <c r="Z78" s="2125"/>
      <c r="AA78" s="2125"/>
      <c r="AB78" s="2125"/>
      <c r="AC78" s="2125"/>
    </row>
    <row r="79" spans="1:29" s="1331" customFormat="1" ht="14.4"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4.4"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4.4"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4.4"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4.4"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4.4"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ht="14.4">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9.4"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9.4"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4.4"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 thickTop="1">
      <c r="A93" s="684"/>
      <c r="B93" s="1876" t="s">
        <v>2545</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4.4"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 thickTop="1">
      <c r="A95" s="684"/>
      <c r="B95" s="2556" t="s">
        <v>2547</v>
      </c>
      <c r="C95" s="2557" t="s">
        <v>2548</v>
      </c>
      <c r="D95" s="2557" t="s">
        <v>2549</v>
      </c>
      <c r="E95" s="2557" t="s">
        <v>2550</v>
      </c>
      <c r="F95" s="2557" t="s">
        <v>2551</v>
      </c>
      <c r="G95" s="2557" t="s">
        <v>2552</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4.4"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4.4" thickBot="1">
      <c r="A98" s="666"/>
      <c r="B98" s="675"/>
      <c r="C98" s="676">
        <v>100</v>
      </c>
      <c r="D98" s="676">
        <f t="shared" ref="D98:M98" si="21">C98-$K29</f>
        <v>100</v>
      </c>
      <c r="E98" s="676">
        <f t="shared" si="21"/>
        <v>100</v>
      </c>
      <c r="F98" s="676">
        <f t="shared" si="21"/>
        <v>100</v>
      </c>
      <c r="G98" s="676">
        <f t="shared" si="21"/>
        <v>100</v>
      </c>
      <c r="H98" s="676">
        <f t="shared" si="21"/>
        <v>100</v>
      </c>
      <c r="I98" s="676">
        <f t="shared" si="21"/>
        <v>100</v>
      </c>
      <c r="J98" s="676">
        <f t="shared" si="21"/>
        <v>100</v>
      </c>
      <c r="K98" s="676">
        <f t="shared" si="21"/>
        <v>100</v>
      </c>
      <c r="L98" s="676">
        <f t="shared" si="21"/>
        <v>100</v>
      </c>
      <c r="M98" s="676">
        <f t="shared" si="21"/>
        <v>100</v>
      </c>
      <c r="N98" s="2146"/>
      <c r="O98" s="2146"/>
      <c r="P98" s="2145"/>
      <c r="Q98" s="2138"/>
      <c r="R98" s="2125"/>
      <c r="S98" s="2125"/>
      <c r="T98" s="2125"/>
      <c r="U98" s="2125"/>
      <c r="V98" s="2125"/>
      <c r="W98" s="2125"/>
      <c r="X98" s="2125"/>
      <c r="Y98" s="2125"/>
      <c r="Z98" s="2125"/>
      <c r="AA98" s="2125"/>
      <c r="AB98" s="2125"/>
      <c r="AC98" s="2125"/>
    </row>
    <row r="99" spans="1:29" ht="29.4"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4.4" thickBot="1">
      <c r="A100" s="666"/>
      <c r="B100" s="675"/>
      <c r="C100" s="676">
        <v>100</v>
      </c>
      <c r="D100" s="676">
        <f t="shared" ref="D100:M100" si="22">C100-$K30</f>
        <v>100</v>
      </c>
      <c r="E100" s="676">
        <f t="shared" si="22"/>
        <v>100</v>
      </c>
      <c r="F100" s="676">
        <f t="shared" si="22"/>
        <v>100</v>
      </c>
      <c r="G100" s="676">
        <f t="shared" si="22"/>
        <v>100</v>
      </c>
      <c r="H100" s="676">
        <f t="shared" si="22"/>
        <v>100</v>
      </c>
      <c r="I100" s="676">
        <f t="shared" si="22"/>
        <v>100</v>
      </c>
      <c r="J100" s="676">
        <f t="shared" si="22"/>
        <v>100</v>
      </c>
      <c r="K100" s="676">
        <f t="shared" si="22"/>
        <v>100</v>
      </c>
      <c r="L100" s="676">
        <f t="shared" si="22"/>
        <v>100</v>
      </c>
      <c r="M100" s="676">
        <f t="shared" si="22"/>
        <v>100</v>
      </c>
      <c r="N100" s="2146"/>
      <c r="O100" s="2146"/>
      <c r="P100" s="2145"/>
      <c r="Q100" s="2138"/>
      <c r="R100" s="2125"/>
      <c r="S100" s="2125"/>
      <c r="T100" s="2125"/>
      <c r="U100" s="2125"/>
      <c r="V100" s="2125"/>
      <c r="W100" s="2125"/>
      <c r="X100" s="2125"/>
      <c r="Y100" s="2125"/>
      <c r="Z100" s="2125"/>
      <c r="AA100" s="2125"/>
      <c r="AB100" s="2125"/>
      <c r="AC100" s="2125"/>
    </row>
    <row r="101" spans="1:29" ht="1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23">C102-$K32</f>
        <v>100</v>
      </c>
      <c r="E102" s="676">
        <f t="shared" si="23"/>
        <v>100</v>
      </c>
      <c r="F102" s="676">
        <f t="shared" si="23"/>
        <v>100</v>
      </c>
      <c r="G102" s="676">
        <f t="shared" si="23"/>
        <v>100</v>
      </c>
      <c r="H102" s="676">
        <f t="shared" si="23"/>
        <v>100</v>
      </c>
      <c r="I102" s="676">
        <f t="shared" si="23"/>
        <v>100</v>
      </c>
      <c r="J102" s="676">
        <f t="shared" si="23"/>
        <v>100</v>
      </c>
      <c r="K102" s="676">
        <f t="shared" si="23"/>
        <v>100</v>
      </c>
      <c r="L102" s="676">
        <f t="shared" si="23"/>
        <v>100</v>
      </c>
      <c r="M102" s="676">
        <f t="shared" si="23"/>
        <v>100</v>
      </c>
      <c r="N102" s="2146"/>
      <c r="O102" s="2146"/>
      <c r="P102" s="2145"/>
      <c r="Q102" s="2138"/>
      <c r="R102" s="2125"/>
      <c r="S102" s="2125"/>
      <c r="T102" s="2125"/>
      <c r="U102" s="2125"/>
      <c r="V102" s="2125"/>
      <c r="W102" s="2125"/>
      <c r="X102" s="2125"/>
      <c r="Y102" s="2125"/>
      <c r="Z102" s="2125"/>
      <c r="AA102" s="2125"/>
      <c r="AB102" s="2125"/>
      <c r="AC102" s="2125"/>
    </row>
    <row r="103" spans="1:29" ht="14.4"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4.4"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4.4"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4.4"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4.4"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ht="14.4">
      <c r="A109" s="661" t="s">
        <v>551</v>
      </c>
      <c r="B109" s="662" t="s">
        <v>593</v>
      </c>
      <c r="C109" s="701" t="str">
        <f t="shared" ref="C109:L109" si="24">C110&amp;"(含)"&amp;"-"&amp;D110</f>
        <v>(含)-</v>
      </c>
      <c r="D109" s="701" t="str">
        <f t="shared" si="24"/>
        <v>(含)-</v>
      </c>
      <c r="E109" s="701" t="str">
        <f t="shared" si="24"/>
        <v>(含)-</v>
      </c>
      <c r="F109" s="701" t="str">
        <f t="shared" si="24"/>
        <v>(含)-</v>
      </c>
      <c r="G109" s="701" t="str">
        <f t="shared" si="24"/>
        <v>(含)-</v>
      </c>
      <c r="H109" s="701" t="str">
        <f t="shared" si="24"/>
        <v>(含)-</v>
      </c>
      <c r="I109" s="701" t="str">
        <f t="shared" si="24"/>
        <v>(含)-</v>
      </c>
      <c r="J109" s="701" t="str">
        <f t="shared" si="24"/>
        <v>(含)-</v>
      </c>
      <c r="K109" s="3030" t="str">
        <f t="shared" si="24"/>
        <v>(含)-</v>
      </c>
      <c r="L109" s="3031" t="str">
        <f t="shared" si="24"/>
        <v>(含)-</v>
      </c>
      <c r="M109" s="303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75"/>
      <c r="C113" s="676">
        <v>100</v>
      </c>
      <c r="D113" s="676">
        <f t="shared" ref="D113:M113" si="25">C113-$K37</f>
        <v>100</v>
      </c>
      <c r="E113" s="676">
        <f t="shared" si="25"/>
        <v>100</v>
      </c>
      <c r="F113" s="676">
        <f t="shared" si="25"/>
        <v>100</v>
      </c>
      <c r="G113" s="676">
        <f t="shared" si="25"/>
        <v>100</v>
      </c>
      <c r="H113" s="676">
        <f t="shared" si="25"/>
        <v>100</v>
      </c>
      <c r="I113" s="676">
        <f t="shared" si="25"/>
        <v>100</v>
      </c>
      <c r="J113" s="676">
        <f t="shared" si="25"/>
        <v>100</v>
      </c>
      <c r="K113" s="676">
        <f t="shared" si="25"/>
        <v>100</v>
      </c>
      <c r="L113" s="676">
        <f t="shared" si="25"/>
        <v>100</v>
      </c>
      <c r="M113" s="677">
        <f t="shared" si="25"/>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2423</v>
      </c>
      <c r="C114" s="1366"/>
      <c r="D114" s="1366"/>
      <c r="E114" s="1366"/>
      <c r="F114" s="1366"/>
      <c r="G114" s="1366"/>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4.4" thickBot="1">
      <c r="A115" s="684"/>
      <c r="B115" s="675"/>
      <c r="C115" s="676">
        <v>100</v>
      </c>
      <c r="D115" s="676">
        <f t="shared" ref="D115:M115" si="26">C115-$K38</f>
        <v>100</v>
      </c>
      <c r="E115" s="676">
        <f t="shared" si="26"/>
        <v>100</v>
      </c>
      <c r="F115" s="676">
        <f t="shared" si="26"/>
        <v>100</v>
      </c>
      <c r="G115" s="676">
        <f t="shared" si="26"/>
        <v>100</v>
      </c>
      <c r="H115" s="676">
        <f t="shared" si="26"/>
        <v>100</v>
      </c>
      <c r="I115" s="676">
        <f t="shared" si="26"/>
        <v>100</v>
      </c>
      <c r="J115" s="676">
        <f t="shared" si="26"/>
        <v>100</v>
      </c>
      <c r="K115" s="676">
        <f t="shared" si="26"/>
        <v>100</v>
      </c>
      <c r="L115" s="676">
        <f t="shared" si="26"/>
        <v>100</v>
      </c>
      <c r="M115" s="677">
        <f t="shared" si="26"/>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 t="shared" ref="D117:M117" si="27">C117-$K39</f>
        <v>100</v>
      </c>
      <c r="E117" s="676">
        <f t="shared" si="27"/>
        <v>100</v>
      </c>
      <c r="F117" s="676">
        <f t="shared" si="27"/>
        <v>100</v>
      </c>
      <c r="G117" s="676">
        <f t="shared" si="27"/>
        <v>100</v>
      </c>
      <c r="H117" s="676">
        <f t="shared" si="27"/>
        <v>100</v>
      </c>
      <c r="I117" s="676">
        <f t="shared" si="27"/>
        <v>100</v>
      </c>
      <c r="J117" s="676">
        <f t="shared" si="27"/>
        <v>100</v>
      </c>
      <c r="K117" s="676">
        <f t="shared" si="27"/>
        <v>100</v>
      </c>
      <c r="L117" s="676">
        <f t="shared" si="27"/>
        <v>100</v>
      </c>
      <c r="M117" s="677">
        <f t="shared" si="27"/>
        <v>100</v>
      </c>
      <c r="N117" s="2146"/>
      <c r="O117" s="2146"/>
      <c r="P117" s="2145"/>
      <c r="Q117" s="2138"/>
      <c r="R117" s="2125"/>
      <c r="S117" s="2125"/>
      <c r="T117" s="2125"/>
      <c r="U117" s="2125"/>
      <c r="V117" s="2125"/>
      <c r="W117" s="2125"/>
      <c r="X117" s="2125"/>
      <c r="Y117" s="2125"/>
      <c r="Z117" s="2125"/>
      <c r="AA117" s="2125"/>
      <c r="AB117" s="2125"/>
      <c r="AC117" s="2125"/>
    </row>
    <row r="118" spans="1:29" ht="14.4"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4.4"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4.4"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4.4"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4.4"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5" customWidth="1"/>
    <col min="2" max="2" width="20.88671875" style="1510"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1694</v>
      </c>
      <c r="B1" s="1391"/>
      <c r="C1" s="1397" t="s">
        <v>2424</v>
      </c>
      <c r="D1" s="1503">
        <f>SUM(D29:D30,D33:D39)</f>
        <v>0</v>
      </c>
      <c r="E1" s="1397" t="s">
        <v>2425</v>
      </c>
      <c r="F1" s="2411"/>
      <c r="G1" s="1392"/>
      <c r="H1" s="1392"/>
      <c r="I1" s="1392"/>
      <c r="J1" s="1392"/>
      <c r="K1" s="1392"/>
      <c r="L1" s="1862" t="s">
        <v>2236</v>
      </c>
      <c r="M1" s="1863">
        <f>SUMPRODUCT((区片价!B5:B9=I2)*(区片价!C3:F3=E2)*(区片价!C5:F9))</f>
        <v>0</v>
      </c>
      <c r="N1" s="1864">
        <f>SUMPRODUCT((因素修正幅度!B5:B9=I2)*(因素修正幅度!C3:F3=E2)*(因素修正幅度!C5:F9))</f>
        <v>0</v>
      </c>
      <c r="O1" s="1392"/>
      <c r="P1" s="1392"/>
      <c r="Q1" s="2169"/>
      <c r="R1" s="2885" t="s">
        <v>2758</v>
      </c>
      <c r="S1" s="2885" t="s">
        <v>2759</v>
      </c>
      <c r="T1" s="2885" t="s">
        <v>2780</v>
      </c>
      <c r="U1" s="2885" t="s">
        <v>2781</v>
      </c>
      <c r="V1" s="2885" t="s">
        <v>2782</v>
      </c>
      <c r="W1" s="2169"/>
      <c r="X1" s="2169"/>
      <c r="Y1" s="2169"/>
      <c r="Z1" s="2169"/>
      <c r="AA1" s="2169"/>
      <c r="AB1" s="2169"/>
      <c r="AC1" s="2170"/>
    </row>
    <row r="2" spans="1:39" ht="15.6">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5" t="s">
        <v>2237</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1.9419999999999999</v>
      </c>
      <c r="T2" s="2886" t="e">
        <f>ROUND($C$5*$C$18*$C$19*$C$20*S2*$C$24,0)</f>
        <v>#DIV/0!</v>
      </c>
      <c r="U2" s="2875"/>
      <c r="V2" s="2886" t="e">
        <f>ROUND(T2*U2/10000,0)</f>
        <v>#DIV/0!</v>
      </c>
      <c r="W2" s="2169"/>
      <c r="X2" s="2169"/>
      <c r="Y2" s="2169"/>
      <c r="Z2" s="2169"/>
      <c r="AA2" s="2169"/>
      <c r="AB2" s="2169"/>
      <c r="AC2" s="2170"/>
    </row>
    <row r="3" spans="1:39" ht="15.6">
      <c r="A3" s="1402" t="s">
        <v>1687</v>
      </c>
      <c r="B3" s="1034" t="e">
        <f>ROUND(B2*10000/D1,0)</f>
        <v>#DIV/0!</v>
      </c>
      <c r="C3" s="1398" t="s">
        <v>927</v>
      </c>
      <c r="D3" s="1399" t="s">
        <v>928</v>
      </c>
      <c r="E3" s="1403"/>
      <c r="F3" s="1404"/>
      <c r="G3" s="1035">
        <f>IF(F3="宗地容积率",'数据-汇总表'!I4,IF(F3="估价对象容积率",'数据-汇总表'!I6,'数据-汇总表'!I7))</f>
        <v>1.97</v>
      </c>
      <c r="H3" s="1405" t="s">
        <v>929</v>
      </c>
      <c r="I3" s="1036">
        <v>8</v>
      </c>
      <c r="J3" s="1401" t="s">
        <v>930</v>
      </c>
      <c r="K3" s="1401"/>
      <c r="L3" s="1865" t="s">
        <v>2238</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1.2799</v>
      </c>
      <c r="T3" s="2886" t="e">
        <f t="shared" ref="T3:T16" si="0">ROUND($C$5*$C$18*$C$19*$C$20*S3*$C$24,0)</f>
        <v>#DIV/0!</v>
      </c>
      <c r="U3" s="2875"/>
      <c r="V3" s="2886" t="e">
        <f t="shared" ref="V3:V16" si="1">ROUND(T3*U3/10000,0)</f>
        <v>#DIV/0!</v>
      </c>
      <c r="W3" s="2169"/>
      <c r="X3" s="2169"/>
      <c r="Y3" s="2169"/>
      <c r="Z3" s="2169"/>
      <c r="AA3" s="2169"/>
      <c r="AB3" s="2169"/>
      <c r="AC3" s="2170"/>
    </row>
    <row r="4" spans="1:39" ht="31.2">
      <c r="A4" s="1871" t="s">
        <v>2278</v>
      </c>
      <c r="B4" s="2412" t="e">
        <f>ROUND(B2*10000/F1,0)</f>
        <v>#DIV/0!</v>
      </c>
      <c r="C4" s="1874" t="s">
        <v>2252</v>
      </c>
      <c r="D4" s="1874" t="e">
        <f>ROUND(B2/(F1/666.67),0)</f>
        <v>#DIV/0!</v>
      </c>
      <c r="E4" s="1874" t="s">
        <v>2253</v>
      </c>
      <c r="F4" s="1872"/>
      <c r="G4" s="1872"/>
      <c r="H4" s="1872"/>
      <c r="I4" s="1872"/>
      <c r="J4" s="1873"/>
      <c r="K4" s="3134"/>
      <c r="L4" s="1865" t="s">
        <v>2239</v>
      </c>
      <c r="M4" s="1866">
        <f>SUMPRODUCT((区片价!B49:B75=I2)*(区片价!C3:F3=E2)*(区片价!C49:F75))</f>
        <v>0</v>
      </c>
      <c r="N4" s="1867">
        <f>SUMPRODUCT((因素修正幅度!B49:B75=I2)*(因素修正幅度!C3:F3=E2)*(因素修正幅度!C49:F75))</f>
        <v>0</v>
      </c>
      <c r="O4" s="3134"/>
      <c r="P4" s="1392"/>
      <c r="Q4" s="2169"/>
      <c r="R4" s="2886">
        <v>3</v>
      </c>
      <c r="S4" s="2886">
        <f>ROUND(IF(G3&gt;1,IF(R4&lt;7,SUMPRODUCT((B93:B98=R4)*(C92:N92=G2)*(C93:N98)),SUMIF(C92:N92,G2,C100:N100)),IF(R4&lt;7,SUMPRODUCT((B102:B107=R4)*(C92:N92=G2)*(C102:N107)),SUMIF(C92:N92,G2,C109:N109))),4)</f>
        <v>1.0072000000000001</v>
      </c>
      <c r="T4" s="2886" t="e">
        <f t="shared" si="0"/>
        <v>#DIV/0!</v>
      </c>
      <c r="U4" s="2875"/>
      <c r="V4" s="2886" t="e">
        <f t="shared" si="1"/>
        <v>#DIV/0!</v>
      </c>
      <c r="W4" s="2169"/>
      <c r="X4" s="2169"/>
      <c r="Y4" s="2169"/>
      <c r="Z4" s="2169"/>
      <c r="AA4" s="2169"/>
      <c r="AB4" s="2169"/>
      <c r="AC4" s="2170"/>
    </row>
    <row r="5" spans="1:39" s="1412" customFormat="1" ht="15.6" thickBot="1">
      <c r="A5" s="1618" t="s">
        <v>1823</v>
      </c>
      <c r="B5" s="1406" t="s">
        <v>931</v>
      </c>
      <c r="C5" s="1037" t="e">
        <f>ROUND(IF(E2="商业",C6*C7+C16,(IF(E2="住宅",C6*C12+C16,C6+C16))),0)</f>
        <v>#DIV/0!</v>
      </c>
      <c r="D5" s="3058" t="e">
        <f>ROUND(C6+C16,0)</f>
        <v>#DIV/0!</v>
      </c>
      <c r="E5" s="3058"/>
      <c r="F5" s="1407"/>
      <c r="G5" s="1408"/>
      <c r="H5" s="1408"/>
      <c r="I5" s="1408"/>
      <c r="J5" s="1409"/>
      <c r="K5" s="3135"/>
      <c r="L5" s="1865" t="s">
        <v>2240</v>
      </c>
      <c r="M5" s="1866">
        <f>SUMPRODUCT((区片价!B76:B109=I2)*(区片价!C3:F3=E2)*(区片价!C76:F109))</f>
        <v>0</v>
      </c>
      <c r="N5" s="1867">
        <f>SUMPRODUCT((因素修正幅度!B76:B109=I2)*(因素修正幅度!C3:F3=E2)*(因素修正幅度!C76:F109))</f>
        <v>0</v>
      </c>
      <c r="O5" s="3135"/>
      <c r="P5" s="1575"/>
      <c r="Q5" s="2169"/>
      <c r="R5" s="2886">
        <v>4</v>
      </c>
      <c r="S5" s="2886">
        <f>ROUND(IF(G3&gt;1,IF(R5&lt;7,SUMPRODUCT((B93:B98=R5)*(C92:N92=G2)*(C93:N98)),SUMIF(C92:N92,G2,C100:N100)),IF(R5&lt;7,SUMPRODUCT((B102:B107=R5)*(C92:N92=G2)*(C102:N107)),SUMIF(C92:N92,G2,C109:N109))),4)</f>
        <v>0.75249999999999995</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6" thickBot="1">
      <c r="A6" s="1619" t="s">
        <v>1870</v>
      </c>
      <c r="B6" s="1413" t="s">
        <v>931</v>
      </c>
      <c r="C6" s="1038">
        <f>SUMIF(L1:L12,基准地价!G2,M1:M12)</f>
        <v>0</v>
      </c>
      <c r="D6" s="1414" t="s">
        <v>1695</v>
      </c>
      <c r="E6" s="1415"/>
      <c r="F6" s="1415"/>
      <c r="G6" s="1416"/>
      <c r="H6" s="1416"/>
      <c r="I6" s="1416"/>
      <c r="J6" s="1417"/>
      <c r="K6" s="1447"/>
      <c r="L6" s="1865" t="s">
        <v>2241</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0.56589999999999996</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623" t="str">
        <f>IF(E2="商业",IF(C8="不临58条商业街","",2),"")</f>
        <v/>
      </c>
      <c r="B7" s="1418" t="s">
        <v>932</v>
      </c>
      <c r="C7" s="1039" t="e">
        <f>IF(C8="不临58条商业街",1,ROUND(1+(1.6*E8+1.2*E9+0.8*E10+0.4*E11)*C9,4))</f>
        <v>#DIV/0!</v>
      </c>
      <c r="D7" s="1419" t="s">
        <v>933</v>
      </c>
      <c r="E7" s="1040"/>
      <c r="F7" s="1420"/>
      <c r="G7" s="1421"/>
      <c r="H7" s="1421"/>
      <c r="I7" s="1421"/>
      <c r="J7" s="1422"/>
      <c r="K7" s="1447"/>
      <c r="L7" s="1865" t="s">
        <v>2242</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0.45250000000000001</v>
      </c>
      <c r="T7" s="2886" t="e">
        <f t="shared" si="0"/>
        <v>#DIV/0!</v>
      </c>
      <c r="U7" s="2875"/>
      <c r="V7" s="2886" t="e">
        <f t="shared" si="1"/>
        <v>#DIV/0!</v>
      </c>
      <c r="W7" s="2884" t="s">
        <v>2761</v>
      </c>
      <c r="X7" s="2876" t="str">
        <f>G2</f>
        <v>八级</v>
      </c>
      <c r="Y7" s="2876" t="s">
        <v>2762</v>
      </c>
      <c r="Z7" s="2877">
        <f>G3</f>
        <v>1.97</v>
      </c>
      <c r="AA7" s="2172"/>
      <c r="AB7" s="2172"/>
      <c r="AC7" s="2173"/>
      <c r="AD7" s="2878"/>
      <c r="AE7" s="2878"/>
      <c r="AF7" s="2878"/>
      <c r="AG7" s="2878"/>
      <c r="AH7" s="2878"/>
      <c r="AI7" s="2878"/>
      <c r="AJ7" s="2879"/>
    </row>
    <row r="8" spans="1:39" ht="15">
      <c r="A8" s="3624"/>
      <c r="B8" s="1405" t="s">
        <v>934</v>
      </c>
      <c r="C8" s="1511"/>
      <c r="D8" s="1041" t="s">
        <v>935</v>
      </c>
      <c r="E8" s="1042" t="e">
        <f>ROUND(C11/E7,4)</f>
        <v>#DIV/0!</v>
      </c>
      <c r="F8" s="1423" t="s">
        <v>936</v>
      </c>
      <c r="G8" s="1424"/>
      <c r="H8" s="1424"/>
      <c r="I8" s="1424"/>
      <c r="J8" s="1425"/>
      <c r="K8" s="1447"/>
      <c r="L8" s="1865" t="s">
        <v>2243</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613" t="s">
        <v>2779</v>
      </c>
      <c r="X8" s="3614"/>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624"/>
      <c r="B9" s="1405" t="s">
        <v>937</v>
      </c>
      <c r="C9" s="1043">
        <f>SUMIF(修正!C59:C119,C8,修正!E59:E119)</f>
        <v>0</v>
      </c>
      <c r="D9" s="1044" t="s">
        <v>938</v>
      </c>
      <c r="E9" s="1044" t="e">
        <f>ROUND(C11/E7,4)</f>
        <v>#DIV/0!</v>
      </c>
      <c r="F9" s="1423" t="s">
        <v>939</v>
      </c>
      <c r="G9" s="1424"/>
      <c r="H9" s="1424"/>
      <c r="I9" s="1424"/>
      <c r="J9" s="1425"/>
      <c r="K9" s="1447"/>
      <c r="L9" s="1865" t="s">
        <v>2244</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612" t="s">
        <v>2775</v>
      </c>
      <c r="X9" s="2880" t="s">
        <v>2776</v>
      </c>
      <c r="Y9" s="3036"/>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24"/>
      <c r="B10" s="1405" t="s">
        <v>940</v>
      </c>
      <c r="C10" s="1044">
        <f>SUMIF(修正!C59:C119,C8,修正!F59:F119)</f>
        <v>0</v>
      </c>
      <c r="D10" s="1044" t="s">
        <v>941</v>
      </c>
      <c r="E10" s="1044" t="e">
        <f>ROUND(C11/E7,4)</f>
        <v>#DIV/0!</v>
      </c>
      <c r="F10" s="1423" t="s">
        <v>942</v>
      </c>
      <c r="G10" s="1424"/>
      <c r="H10" s="1424"/>
      <c r="I10" s="1424"/>
      <c r="J10" s="1425"/>
      <c r="K10" s="1447"/>
      <c r="L10" s="1865" t="s">
        <v>2245</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612"/>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24"/>
      <c r="B11" s="1426" t="s">
        <v>943</v>
      </c>
      <c r="C11" s="1045">
        <f>C10/4</f>
        <v>0</v>
      </c>
      <c r="D11" s="1045" t="s">
        <v>944</v>
      </c>
      <c r="E11" s="1045" t="e">
        <f>ROUND(C11/E7,4)</f>
        <v>#DIV/0!</v>
      </c>
      <c r="F11" s="1427" t="s">
        <v>945</v>
      </c>
      <c r="G11" s="1428"/>
      <c r="H11" s="1428"/>
      <c r="I11" s="1428"/>
      <c r="J11" s="1429"/>
      <c r="K11" s="1447"/>
      <c r="L11" s="1865" t="s">
        <v>2246</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612" t="s">
        <v>2777</v>
      </c>
      <c r="X11" s="1044" t="s">
        <v>2762</v>
      </c>
      <c r="Y11" s="1633">
        <f>$G$3</f>
        <v>1.97</v>
      </c>
      <c r="Z11" s="1633">
        <f t="shared" ref="Z11:AJ11" si="3">$G$3</f>
        <v>1.97</v>
      </c>
      <c r="AA11" s="1633">
        <f t="shared" si="3"/>
        <v>1.97</v>
      </c>
      <c r="AB11" s="1633">
        <f t="shared" si="3"/>
        <v>1.97</v>
      </c>
      <c r="AC11" s="1633">
        <f t="shared" si="3"/>
        <v>1.97</v>
      </c>
      <c r="AD11" s="1633">
        <f t="shared" si="3"/>
        <v>1.97</v>
      </c>
      <c r="AE11" s="1633">
        <f t="shared" si="3"/>
        <v>1.97</v>
      </c>
      <c r="AF11" s="1633">
        <f t="shared" si="3"/>
        <v>1.97</v>
      </c>
      <c r="AG11" s="1633">
        <f t="shared" si="3"/>
        <v>1.97</v>
      </c>
      <c r="AH11" s="1633">
        <f t="shared" si="3"/>
        <v>1.97</v>
      </c>
      <c r="AI11" s="1633">
        <f t="shared" si="3"/>
        <v>1.97</v>
      </c>
      <c r="AJ11" s="1633">
        <f t="shared" si="3"/>
        <v>1.97</v>
      </c>
    </row>
    <row r="12" spans="1:39" ht="25.8" thickBot="1">
      <c r="A12" s="3623" t="s">
        <v>1871</v>
      </c>
      <c r="B12" s="1430" t="s">
        <v>946</v>
      </c>
      <c r="C12" s="1039">
        <f>ROUND(C15*D15*E15*F15*G15*H15*I15*J15,4)</f>
        <v>1</v>
      </c>
      <c r="D12" s="1431" t="s">
        <v>947</v>
      </c>
      <c r="E12" s="1432"/>
      <c r="F12" s="1432"/>
      <c r="G12" s="1433"/>
      <c r="H12" s="1433"/>
      <c r="I12" s="1433"/>
      <c r="J12" s="1434"/>
      <c r="K12" s="1447"/>
      <c r="L12" s="1868" t="s">
        <v>2247</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612"/>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25"/>
      <c r="B13" s="1435" t="s">
        <v>1696</v>
      </c>
      <c r="C13" s="1436" t="s">
        <v>1697</v>
      </c>
      <c r="D13" s="1081" t="s">
        <v>1698</v>
      </c>
      <c r="E13" s="1081" t="s">
        <v>1699</v>
      </c>
      <c r="F13" s="1437" t="s">
        <v>948</v>
      </c>
      <c r="G13" s="1438" t="s">
        <v>1642</v>
      </c>
      <c r="H13" s="1439" t="s">
        <v>1642</v>
      </c>
      <c r="I13" s="1440" t="s">
        <v>1642</v>
      </c>
      <c r="J13" s="1441" t="s">
        <v>1642</v>
      </c>
      <c r="K13" s="3150"/>
      <c r="L13" s="3150"/>
      <c r="M13" s="3150"/>
      <c r="N13" s="3150"/>
      <c r="O13" s="3150"/>
      <c r="P13" s="1392"/>
      <c r="Q13" s="2169"/>
      <c r="R13" s="2886">
        <v>12</v>
      </c>
      <c r="S13" s="2875"/>
      <c r="T13" s="2886" t="e">
        <f t="shared" si="0"/>
        <v>#DIV/0!</v>
      </c>
      <c r="U13" s="2875"/>
      <c r="V13" s="2886" t="e">
        <f t="shared" si="1"/>
        <v>#DIV/0!</v>
      </c>
      <c r="W13" s="3612"/>
      <c r="X13" s="2883"/>
      <c r="Y13" s="2882">
        <f>(-0.163*(Y12^2)-0.59*Y12+7617)*(10^(-4))/Y11</f>
        <v>0.38664974619289344</v>
      </c>
      <c r="Z13" s="2882">
        <f t="shared" ref="Z13:AJ13" si="5">(-0.163*(Z12^2)-0.59*Z12+7617)*(10^(-4))/Z11</f>
        <v>0.38664974619289344</v>
      </c>
      <c r="AA13" s="2882">
        <f t="shared" si="5"/>
        <v>0.38664974619289344</v>
      </c>
      <c r="AB13" s="2882">
        <f t="shared" si="5"/>
        <v>0.38664974619289344</v>
      </c>
      <c r="AC13" s="2882">
        <f t="shared" si="5"/>
        <v>0.38664974619289344</v>
      </c>
      <c r="AD13" s="2882">
        <f t="shared" si="5"/>
        <v>0.38664974619289344</v>
      </c>
      <c r="AE13" s="2882">
        <f t="shared" si="5"/>
        <v>0.38664974619289344</v>
      </c>
      <c r="AF13" s="2882">
        <f t="shared" si="5"/>
        <v>0.38664974619289344</v>
      </c>
      <c r="AG13" s="2882">
        <f t="shared" si="5"/>
        <v>0.38664974619289344</v>
      </c>
      <c r="AH13" s="2882">
        <f t="shared" si="5"/>
        <v>0.38664974619289344</v>
      </c>
      <c r="AI13" s="2882">
        <f t="shared" si="5"/>
        <v>0.38664974619289344</v>
      </c>
      <c r="AJ13" s="2882">
        <f t="shared" si="5"/>
        <v>0.38664974619289344</v>
      </c>
    </row>
    <row r="14" spans="1:39" ht="12.75" customHeight="1">
      <c r="A14" s="3625"/>
      <c r="B14" s="1442"/>
      <c r="C14" s="1443"/>
      <c r="D14" s="1444"/>
      <c r="E14" s="1444"/>
      <c r="F14" s="1445"/>
      <c r="G14" s="1446" t="s">
        <v>949</v>
      </c>
      <c r="H14" s="1447"/>
      <c r="I14" s="1448"/>
      <c r="J14" s="1449"/>
      <c r="K14" s="3136"/>
      <c r="L14" s="3136"/>
      <c r="M14" s="3136"/>
      <c r="N14" s="3136"/>
      <c r="O14" s="3136"/>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626"/>
      <c r="B15" s="3155" t="s">
        <v>1700</v>
      </c>
      <c r="C15" s="1045">
        <f>IF(C14="有",1.1,1)</f>
        <v>1</v>
      </c>
      <c r="D15" s="1045">
        <f>IF(D14="有",1.1,1)</f>
        <v>1</v>
      </c>
      <c r="E15" s="1045">
        <f>IF(E14="有",1.1,1)</f>
        <v>1</v>
      </c>
      <c r="F15" s="1045">
        <f>IF(F14="500米范围内",1.2,IF(F14="500-1000米",1.1,1))</f>
        <v>1</v>
      </c>
      <c r="G15" s="3147">
        <v>1</v>
      </c>
      <c r="H15" s="3147">
        <v>1</v>
      </c>
      <c r="I15" s="3147">
        <v>1</v>
      </c>
      <c r="J15" s="3148">
        <v>1</v>
      </c>
      <c r="K15" s="3151"/>
      <c r="L15" s="3151"/>
      <c r="M15" s="3151"/>
      <c r="N15" s="3151"/>
      <c r="O15" s="3151"/>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623" t="s">
        <v>1838</v>
      </c>
      <c r="B16" s="1418" t="s">
        <v>950</v>
      </c>
      <c r="C16" s="1048" t="e">
        <f>ROUND(IF(F17="与级别开发程度一致",0,(G17-E17)/C17),0)</f>
        <v>#DIV/0!</v>
      </c>
      <c r="D16" s="3620" t="s">
        <v>954</v>
      </c>
      <c r="E16" s="3621"/>
      <c r="F16" s="3620" t="s">
        <v>951</v>
      </c>
      <c r="G16" s="3621"/>
      <c r="H16" s="1450"/>
      <c r="I16" s="1450"/>
      <c r="J16" s="1450"/>
      <c r="K16" s="1450"/>
      <c r="L16" s="1450"/>
      <c r="M16" s="1450"/>
      <c r="N16" s="1450"/>
      <c r="O16" s="3160"/>
      <c r="P16" s="1392"/>
      <c r="Q16" s="2172"/>
      <c r="R16" s="2886">
        <v>15</v>
      </c>
      <c r="S16" s="2875"/>
      <c r="T16" s="2886" t="e">
        <f t="shared" si="0"/>
        <v>#DIV/0!</v>
      </c>
      <c r="U16" s="2875"/>
      <c r="V16" s="2886" t="e">
        <f t="shared" si="1"/>
        <v>#DIV/0!</v>
      </c>
      <c r="W16" s="2172"/>
      <c r="X16" s="2172"/>
      <c r="Y16" s="2172"/>
      <c r="Z16" s="2172"/>
      <c r="AA16" s="2172"/>
      <c r="AB16" s="2172"/>
      <c r="AC16" s="2173"/>
    </row>
    <row r="17" spans="1:40" ht="13.8" thickBot="1">
      <c r="A17" s="3627"/>
      <c r="B17" s="3161" t="s">
        <v>953</v>
      </c>
      <c r="C17" s="3162">
        <f>SUMPRODUCT((修正!A2:A5=E2)*(修正!B1:M1=G2)*(修正!B2:M5))</f>
        <v>0</v>
      </c>
      <c r="D17" s="3163" t="str">
        <f>IF(OR(G2="八级",G2="九级",G2="十级",G2="十一级",G2="十二级"),"五通一平","七通一平")</f>
        <v>五通一平</v>
      </c>
      <c r="E17" s="3153">
        <f>SUMPRODUCT((修正!B1:M1=G2)*(修正!B15:M15))</f>
        <v>155</v>
      </c>
      <c r="F17" s="3154"/>
      <c r="G17" s="3153">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4">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 thickBot="1">
      <c r="A18" s="2729" t="s">
        <v>1829</v>
      </c>
      <c r="B18" s="3156" t="s">
        <v>955</v>
      </c>
      <c r="C18" s="3157">
        <f>SUMIF(修正!C18:C39,E3,修正!E18:E39)</f>
        <v>0</v>
      </c>
      <c r="D18" s="3158"/>
      <c r="E18" s="3159"/>
      <c r="F18" s="3141"/>
      <c r="G18" s="3135"/>
      <c r="H18" s="3135"/>
      <c r="I18" s="3135"/>
      <c r="J18" s="3149"/>
      <c r="K18" s="3135"/>
      <c r="L18" s="3135"/>
      <c r="M18" s="3135"/>
      <c r="N18" s="3135"/>
      <c r="O18" s="3135"/>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9.4"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44027</v>
      </c>
      <c r="H19" s="1458" t="s">
        <v>2983</v>
      </c>
      <c r="I19" s="2735" t="str">
        <f>IF(H19="季度增幅（自定义）",SUMIF(N21:N24,E2,O21:O24),"")</f>
        <v/>
      </c>
      <c r="J19" s="1454"/>
      <c r="K19" s="3135"/>
      <c r="L19" s="2979" t="s">
        <v>2837</v>
      </c>
      <c r="M19" s="2980">
        <f>ROUND(SUMIF(地价!B2:F2,E2,地价!B29:F29),0)</f>
        <v>0</v>
      </c>
      <c r="N19" s="2737" t="s">
        <v>1676</v>
      </c>
      <c r="O19" s="2736">
        <f>ROUNDDOWN(DATEDIF(E19,G19,"M")/3,0)</f>
        <v>26</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9.4" thickBot="1">
      <c r="A20" s="2729" t="s">
        <v>1836</v>
      </c>
      <c r="B20" s="2730" t="s">
        <v>971</v>
      </c>
      <c r="C20" s="2731" t="e">
        <f>ROUND(POWER(1+G20,J20-I20)*(POWER(1+G20,I20)-1)/(POWER(1+G20,J20)-1),4)</f>
        <v>#DIV/0!</v>
      </c>
      <c r="D20" s="2732" t="s">
        <v>972</v>
      </c>
      <c r="E20" s="3033">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37"/>
      <c r="L20" s="2981" t="s">
        <v>2838</v>
      </c>
      <c r="M20" s="3144">
        <f>ROUND(SUMPRODUCT((地价!A4:A29=YEAR(G19)&amp;"-"&amp;ROUNDUP(MONTH(G19)/3,0))*(地价!B2:F2=E2)*(地价!B4:F29)),0)</f>
        <v>0</v>
      </c>
      <c r="N20" s="2740" t="s">
        <v>2641</v>
      </c>
      <c r="O20" s="2738" t="s">
        <v>2640</v>
      </c>
      <c r="P20" s="2739" t="s">
        <v>2646</v>
      </c>
      <c r="Q20" s="2874"/>
      <c r="R20" s="2175"/>
      <c r="S20" s="2175"/>
      <c r="T20" s="2175"/>
      <c r="U20" s="2175"/>
      <c r="V20" s="2175"/>
      <c r="W20" s="2175"/>
      <c r="X20" s="2175"/>
      <c r="Y20" s="1455"/>
      <c r="Z20" s="1455"/>
      <c r="AA20" s="1455"/>
      <c r="AB20" s="1455"/>
      <c r="AC20" s="1455"/>
      <c r="AD20" s="1455"/>
    </row>
    <row r="21" spans="1:40" s="1412" customFormat="1" ht="14.4">
      <c r="A21" s="1622" t="s">
        <v>1837</v>
      </c>
      <c r="B21" s="1463" t="s">
        <v>2757</v>
      </c>
      <c r="C21" s="1150">
        <f>IF(B21="容积率修正",IF(G3&lt;=10,D22,J22),C23)</f>
        <v>0.44750000000000001</v>
      </c>
      <c r="D21" s="1464"/>
      <c r="E21" s="1464"/>
      <c r="F21" s="1464"/>
      <c r="G21" s="1464"/>
      <c r="H21" s="1464"/>
      <c r="I21" s="1464"/>
      <c r="J21" s="1465"/>
      <c r="K21" s="3135"/>
      <c r="L21" s="1464"/>
      <c r="M21" s="1464"/>
      <c r="N21" s="1461" t="s">
        <v>975</v>
      </c>
      <c r="O21" s="1524"/>
      <c r="P21" s="2727">
        <f>SUMPRODUCT((地价!A3:A29=YEAR(G19)&amp;"-"&amp;ROUNDUP(MONTH(G19)/3,0))*(地价!AD2:AH2=N21)*(地价!AD3:AH29))</f>
        <v>0</v>
      </c>
      <c r="Q21" s="2874"/>
      <c r="R21" s="2175"/>
      <c r="S21" s="2175"/>
      <c r="T21" s="2175"/>
      <c r="U21" s="2175"/>
      <c r="V21" s="2175"/>
      <c r="W21" s="2175"/>
      <c r="X21" s="2175"/>
      <c r="Y21" s="1394"/>
      <c r="Z21" s="1394"/>
      <c r="AA21" s="1394"/>
      <c r="AB21" s="1394"/>
      <c r="AC21" s="1455"/>
      <c r="AD21" s="1455"/>
    </row>
    <row r="22" spans="1:40" s="1412" customFormat="1" ht="14.4">
      <c r="A22" s="1623" t="s">
        <v>1870</v>
      </c>
      <c r="B22" s="1466" t="s">
        <v>976</v>
      </c>
      <c r="C22" s="1052" t="s">
        <v>1702</v>
      </c>
      <c r="D22" s="1052">
        <f>IF(E22=G22,F22,IF(G3&lt;=10,ROUND(F22+(H22-F22)*(G3-E22)/(G22-E22),4),"——"))</f>
        <v>0.49809999999999999</v>
      </c>
      <c r="E22" s="1035">
        <f>ROUNDDOWN(G3,1)</f>
        <v>1.9</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2" t="s">
        <v>977</v>
      </c>
      <c r="J22" s="1052" t="str">
        <f>IF(G3&gt;10,D113,"——")</f>
        <v>——</v>
      </c>
      <c r="K22" s="3138"/>
      <c r="L22" s="1464"/>
      <c r="M22" s="1464"/>
      <c r="N22" s="1461" t="s">
        <v>978</v>
      </c>
      <c r="O22" s="1524"/>
      <c r="P22" s="2727">
        <f>SUMPRODUCT((地价!A3:A29=YEAR(G19)&amp;"-"&amp;ROUNDUP(MONTH(G19)/3,0))*(地价!AD2:AH2=N22)*(地价!AD3:AH29))</f>
        <v>0</v>
      </c>
      <c r="Q22" s="2874"/>
      <c r="R22" s="2175"/>
      <c r="S22" s="2175"/>
      <c r="T22" s="2175"/>
      <c r="U22" s="2175"/>
      <c r="V22" s="2175"/>
      <c r="W22" s="2175"/>
      <c r="X22" s="2175"/>
      <c r="Y22" s="1455"/>
      <c r="Z22" s="1455"/>
      <c r="AA22" s="1455"/>
      <c r="AB22" s="1455"/>
      <c r="AC22" s="1455"/>
      <c r="AD22" s="1455"/>
    </row>
    <row r="23" spans="1:40" ht="1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9"/>
      <c r="L23" s="1392"/>
      <c r="M23" s="1392"/>
      <c r="N23" s="1461" t="s">
        <v>923</v>
      </c>
      <c r="O23" s="1524"/>
      <c r="P23" s="2727">
        <f>SUMPRODUCT((地价!A3:A29=YEAR(G19)&amp;"-"&amp;ROUNDUP(MONTH(G19)/3,0))*(地价!AD2:AH2=N23)*(地价!AD3:AH29))</f>
        <v>0</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 thickBot="1">
      <c r="A24" s="1621" t="s">
        <v>1872</v>
      </c>
      <c r="B24" s="1406" t="s">
        <v>980</v>
      </c>
      <c r="C24" s="1054">
        <f>SUMIF(A44:A87,E2,B44:B87)</f>
        <v>0</v>
      </c>
      <c r="D24" s="1517"/>
      <c r="E24" s="1518"/>
      <c r="F24" s="1518"/>
      <c r="G24" s="1518"/>
      <c r="H24" s="1518"/>
      <c r="I24" s="1518"/>
      <c r="J24" s="1518"/>
      <c r="K24" s="3139"/>
      <c r="L24" s="1464"/>
      <c r="M24" s="1464"/>
      <c r="N24" s="1461" t="s">
        <v>981</v>
      </c>
      <c r="O24" s="3143"/>
      <c r="P24" s="2727">
        <f>SUMPRODUCT((地价!A3:A29=YEAR(G19)&amp;"-"&amp;ROUNDUP(MONTH(G19)/3,0))*(地价!AD2:AH2=N24)*(地价!AD3:AH29))</f>
        <v>0</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45" t="s">
        <v>2644</v>
      </c>
      <c r="O25" s="3146"/>
      <c r="P25" s="2406">
        <f>SUMPRODUCT((地价!A3:A29=YEAR(G19)&amp;"-"&amp;ROUNDUP(MONTH(G19)/3,0))*(地价!AD2:AH2=N25)*(地价!AD3:AH29))</f>
        <v>0</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4">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24">
      <c r="A29" s="1484"/>
      <c r="B29" s="1485" t="s">
        <v>993</v>
      </c>
      <c r="C29" s="1055" t="e">
        <f>ROUND(C5*C18*C19*C20*C21*C24,0)</f>
        <v>#DIV/0!</v>
      </c>
      <c r="D29" s="1486"/>
      <c r="E29" s="1829" t="e">
        <f>ROUND(C29*D29/10000,0)</f>
        <v>#DIV/0!</v>
      </c>
      <c r="F29" s="1487" t="s">
        <v>1701</v>
      </c>
      <c r="G29" s="1488"/>
      <c r="H29" s="1488"/>
      <c r="I29" s="1488"/>
      <c r="J29" s="1489"/>
      <c r="K29" s="3140"/>
      <c r="L29" s="3140"/>
      <c r="M29" s="3140"/>
      <c r="N29" s="3140"/>
      <c r="O29" s="3140"/>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6" thickBot="1">
      <c r="A30" s="1490"/>
      <c r="B30" s="1491" t="s">
        <v>994</v>
      </c>
      <c r="C30" s="1047"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36">
      <c r="A32" s="1484"/>
      <c r="B32" s="1500"/>
      <c r="C32" s="1501" t="s">
        <v>990</v>
      </c>
      <c r="D32" s="1502" t="s">
        <v>991</v>
      </c>
      <c r="E32" s="1502" t="s">
        <v>992</v>
      </c>
      <c r="F32" s="1503" t="s">
        <v>998</v>
      </c>
      <c r="G32" s="1462" t="s">
        <v>990</v>
      </c>
      <c r="H32" s="1462" t="s">
        <v>991</v>
      </c>
      <c r="I32" s="1462" t="s">
        <v>992</v>
      </c>
      <c r="J32" s="1504"/>
      <c r="K32" s="3141"/>
      <c r="L32" s="3141"/>
      <c r="M32" s="3141"/>
      <c r="N32" s="3141"/>
      <c r="O32" s="3141"/>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3.2">
      <c r="A33" s="3630" t="s">
        <v>2953</v>
      </c>
      <c r="B33" s="1506" t="s">
        <v>999</v>
      </c>
      <c r="C33" s="1055" t="e">
        <f>ROUND(D5*C19*C20*C24*F33,0)</f>
        <v>#DIV/0!</v>
      </c>
      <c r="D33" s="1519"/>
      <c r="E33" s="1044" t="e">
        <f>ROUND(C33*D33/10000,0)</f>
        <v>#DIV/0!</v>
      </c>
      <c r="F33" s="1044">
        <f>SUMIF(修正!A45:A56,G2,修正!B45:B56)</f>
        <v>0.6</v>
      </c>
      <c r="G33" s="1044" t="e">
        <f>ROUND(IF(E2="工业",C33*$M$39,C33*$M$38),0)</f>
        <v>#DIV/0!</v>
      </c>
      <c r="H33" s="1044">
        <f>D33</f>
        <v>0</v>
      </c>
      <c r="I33" s="1044" t="e">
        <f>ROUND(G33*H33/10000,0)</f>
        <v>#DIV/0!</v>
      </c>
      <c r="J33" s="1507"/>
      <c r="K33" s="3142"/>
      <c r="L33" s="3142"/>
      <c r="M33" s="3142"/>
      <c r="N33" s="3142"/>
      <c r="O33" s="3142"/>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3.2">
      <c r="A34" s="3631"/>
      <c r="B34" s="1436" t="s">
        <v>1000</v>
      </c>
      <c r="C34" s="1055" t="e">
        <f>ROUND(D5*C19*C20*C24*F34,0)</f>
        <v>#DIV/0!</v>
      </c>
      <c r="D34" s="1519"/>
      <c r="E34" s="1044" t="e">
        <f t="shared" ref="E34:E39" si="6">ROUND(C34*D34/10000,0)</f>
        <v>#DIV/0!</v>
      </c>
      <c r="F34" s="1044">
        <f>SUMIF(修正!A45:A56,G2,修正!C45:C56)</f>
        <v>0.3</v>
      </c>
      <c r="G34" s="1044" t="e">
        <f>ROUND(IF(E2="工业",C34*$M$39,C34*$M$38),0)</f>
        <v>#DIV/0!</v>
      </c>
      <c r="H34" s="1044">
        <f t="shared" ref="H34:H39" si="7">D34</f>
        <v>0</v>
      </c>
      <c r="I34" s="1044" t="e">
        <f t="shared" ref="I34:I39" si="8">ROUND(G34*H34/10000,0)</f>
        <v>#DIV/0!</v>
      </c>
      <c r="J34" s="1507"/>
      <c r="K34" s="3142"/>
      <c r="L34" s="3142"/>
      <c r="M34" s="3142"/>
      <c r="N34" s="3142"/>
      <c r="O34" s="3142"/>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3.2">
      <c r="A35" s="3631"/>
      <c r="B35" s="1436" t="s">
        <v>1001</v>
      </c>
      <c r="C35" s="1055" t="e">
        <f>ROUND(D5*C19*C20*C24*F35,0)</f>
        <v>#DIV/0!</v>
      </c>
      <c r="D35" s="1519"/>
      <c r="E35" s="1044" t="e">
        <f t="shared" si="6"/>
        <v>#DIV/0!</v>
      </c>
      <c r="F35" s="1044">
        <f>SUMIF(修正!A45:A56,G2,修正!D45:D56)</f>
        <v>0.2</v>
      </c>
      <c r="G35" s="1044" t="e">
        <f>ROUND(IF(E2="工业",C35*$M$39,C35*$M$38),0)</f>
        <v>#DIV/0!</v>
      </c>
      <c r="H35" s="1044">
        <f t="shared" si="7"/>
        <v>0</v>
      </c>
      <c r="I35" s="1044" t="e">
        <f t="shared" si="8"/>
        <v>#DIV/0!</v>
      </c>
      <c r="J35" s="1507"/>
      <c r="K35" s="3142"/>
      <c r="L35" s="3142"/>
      <c r="M35" s="3142"/>
      <c r="N35" s="3142"/>
      <c r="O35" s="3142"/>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8" thickBot="1">
      <c r="A36" s="3632"/>
      <c r="B36" s="1436" t="s">
        <v>1002</v>
      </c>
      <c r="C36" s="1055" t="e">
        <f>ROUND(D5*C19*C20*C24*F36,0)</f>
        <v>#DIV/0!</v>
      </c>
      <c r="D36" s="1519"/>
      <c r="E36" s="1044" t="e">
        <f t="shared" si="6"/>
        <v>#DIV/0!</v>
      </c>
      <c r="F36" s="1044">
        <f>SUMIF(修正!A45:A56,G2,修正!E45:E56)</f>
        <v>0.2</v>
      </c>
      <c r="G36" s="1044" t="e">
        <f>ROUND(IF(E2="工业",C36*$M$39,C36*$M$38),0)</f>
        <v>#DIV/0!</v>
      </c>
      <c r="H36" s="1044">
        <f t="shared" si="7"/>
        <v>0</v>
      </c>
      <c r="I36" s="1044" t="e">
        <f t="shared" si="8"/>
        <v>#DIV/0!</v>
      </c>
      <c r="J36" s="1507"/>
      <c r="K36" s="3142"/>
      <c r="L36" s="3142"/>
      <c r="M36" s="3142"/>
      <c r="N36" s="3142"/>
      <c r="O36" s="3142"/>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3.2">
      <c r="A37" s="1505"/>
      <c r="B37" s="1436" t="s">
        <v>1003</v>
      </c>
      <c r="C37" s="1044" t="e">
        <f>ROUND(D5*C19*C20*C24*F37,0)</f>
        <v>#DIV/0!</v>
      </c>
      <c r="D37" s="1519"/>
      <c r="E37" s="1044" t="e">
        <f t="shared" si="6"/>
        <v>#DIV/0!</v>
      </c>
      <c r="F37" s="1055">
        <f>SUMIF(修正!A45:A56,G2,修正!F45:F56)</f>
        <v>0.2</v>
      </c>
      <c r="G37" s="1044" t="e">
        <f>ROUND(IF(E2="工业",C37*$M$39,C37*$M$38),0)</f>
        <v>#DIV/0!</v>
      </c>
      <c r="H37" s="1044">
        <f t="shared" si="7"/>
        <v>0</v>
      </c>
      <c r="I37" s="1044" t="e">
        <f t="shared" si="8"/>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3.2">
      <c r="A38" s="1505"/>
      <c r="B38" s="1436" t="s">
        <v>1004</v>
      </c>
      <c r="C38" s="1044" t="e">
        <f>ROUND(D5*C19*C41*C24*F38,0)</f>
        <v>#DIV/0!</v>
      </c>
      <c r="D38" s="1519"/>
      <c r="E38" s="1044" t="e">
        <f t="shared" si="6"/>
        <v>#DIV/0!</v>
      </c>
      <c r="F38" s="1055">
        <f>SUMIF(修正!A45:A56,G2,修正!G45:G56)</f>
        <v>0.2</v>
      </c>
      <c r="G38" s="1044" t="e">
        <f>ROUND(IF(E2="工业",C38*$M$39,C38*$M$38),0)</f>
        <v>#DIV/0!</v>
      </c>
      <c r="H38" s="1044">
        <f t="shared" si="7"/>
        <v>0</v>
      </c>
      <c r="I38" s="1044" t="e">
        <f t="shared" si="8"/>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8" thickBot="1">
      <c r="A39" s="1490"/>
      <c r="B39" s="1508" t="s">
        <v>1005</v>
      </c>
      <c r="C39" s="1047" t="e">
        <f>ROUND(D5*C19*C41*C24*F39,0)</f>
        <v>#DIV/0!</v>
      </c>
      <c r="D39" s="1520"/>
      <c r="E39" s="1047" t="e">
        <f t="shared" si="6"/>
        <v>#DIV/0!</v>
      </c>
      <c r="F39" s="1057">
        <f>SUMIF(修正!A45:A56,G2,修正!H45:H56)</f>
        <v>0.15</v>
      </c>
      <c r="G39" s="1047" t="e">
        <f>ROUND(IF(E2="工业",C39*$M$39,C39*$M$38),0)</f>
        <v>#DIV/0!</v>
      </c>
      <c r="H39" s="1047">
        <f t="shared" si="7"/>
        <v>0</v>
      </c>
      <c r="I39" s="1047" t="e">
        <f t="shared" si="8"/>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24">
      <c r="A41" s="1394"/>
      <c r="B41" s="3133" t="s">
        <v>2977</v>
      </c>
      <c r="C41" s="836" t="e">
        <f>ROUND(POWER(1+E41,H41-G41)*(POWER(1+E41,G41)-1)/(POWER(1+E41,H41)-1),4)</f>
        <v>#DIV/0!</v>
      </c>
      <c r="D41" s="375" t="s">
        <v>2975</v>
      </c>
      <c r="E41" s="3132">
        <f>G20</f>
        <v>0</v>
      </c>
      <c r="F41" s="375" t="s">
        <v>2976</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4.4">
      <c r="A45" s="2383" t="s">
        <v>1007</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9" t="s">
        <v>1008</v>
      </c>
      <c r="B46" s="2367" t="s">
        <v>1009</v>
      </c>
      <c r="C46" s="2389" t="s">
        <v>1010</v>
      </c>
      <c r="D46" s="2390" t="s">
        <v>1011</v>
      </c>
      <c r="E46" s="2391" t="s">
        <v>1013</v>
      </c>
      <c r="F46" s="2392" t="s">
        <v>2248</v>
      </c>
      <c r="G46" s="2390" t="s">
        <v>1014</v>
      </c>
      <c r="H46" s="2373" t="s">
        <v>2416</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48">
      <c r="A47" s="1059" t="s">
        <v>1020</v>
      </c>
      <c r="B47" s="2370" t="str">
        <f>估价对象房地状况!C16</f>
        <v>估价对象周边商业氛围成熟度较差，2公里内以住宅底商为主，人流量一般，商业繁华度较差</v>
      </c>
      <c r="C47" s="1046"/>
      <c r="D47" s="2376">
        <f t="shared" ref="D47:D55" si="9">SUMIF($J$46:$N$46,C47,J47:N47)</f>
        <v>0</v>
      </c>
      <c r="E47" s="2395">
        <f>ROUND(SUM(D47:D55),4)</f>
        <v>0</v>
      </c>
      <c r="F47" s="2396" t="str">
        <f>IF(E2="商业",SUMIF(L1:L12,G2,N1:N12),"——")</f>
        <v>——</v>
      </c>
      <c r="G47" s="2374"/>
      <c r="H47" s="2420" t="str">
        <f t="shared" ref="H47:H55" si="10">IFERROR(ROUNDDOWN(($F$47*I47/2),4),"——")</f>
        <v>——</v>
      </c>
      <c r="I47" s="2394">
        <v>0.33</v>
      </c>
      <c r="J47" s="2397">
        <f t="shared" ref="J47:J55" si="11">K47+$G47</f>
        <v>0</v>
      </c>
      <c r="K47" s="2397">
        <f t="shared" ref="K47:K55" si="12">$L47+$G47</f>
        <v>0</v>
      </c>
      <c r="L47" s="2397">
        <v>0</v>
      </c>
      <c r="M47" s="2397">
        <f t="shared" ref="M47:N55" si="13">L47-$G47</f>
        <v>0</v>
      </c>
      <c r="N47" s="2397">
        <f t="shared" si="13"/>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72">
      <c r="A48" s="1059" t="s">
        <v>1021</v>
      </c>
      <c r="B48" s="2367" t="str">
        <f>估价对象房地状况!C18</f>
        <v>估价对象周边道路状况一般、公共交通通达情况较差，有578、兴31、兴59路、停车便捷程度较好，综合评价交通便捷度较差</v>
      </c>
      <c r="C48" s="1046"/>
      <c r="D48" s="2376">
        <f t="shared" si="9"/>
        <v>0</v>
      </c>
      <c r="E48" s="2398"/>
      <c r="F48" s="2396"/>
      <c r="G48" s="2374"/>
      <c r="H48" s="2420" t="str">
        <f t="shared" si="10"/>
        <v>——</v>
      </c>
      <c r="I48" s="2394">
        <v>0.25</v>
      </c>
      <c r="J48" s="2397">
        <f t="shared" si="11"/>
        <v>0</v>
      </c>
      <c r="K48" s="2397">
        <f t="shared" si="12"/>
        <v>0</v>
      </c>
      <c r="L48" s="2397">
        <v>0</v>
      </c>
      <c r="M48" s="2397">
        <f t="shared" si="13"/>
        <v>0</v>
      </c>
      <c r="N48" s="2397">
        <f t="shared" si="13"/>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9" t="s">
        <v>1022</v>
      </c>
      <c r="B49" s="2367">
        <f>估价对象房地状况!C19</f>
        <v>0</v>
      </c>
      <c r="C49" s="1046"/>
      <c r="D49" s="2376">
        <f t="shared" si="9"/>
        <v>0</v>
      </c>
      <c r="E49" s="2398"/>
      <c r="F49" s="2396"/>
      <c r="G49" s="2374"/>
      <c r="H49" s="2420" t="str">
        <f t="shared" si="10"/>
        <v>——</v>
      </c>
      <c r="I49" s="2394">
        <v>0.05</v>
      </c>
      <c r="J49" s="2397">
        <f t="shared" si="11"/>
        <v>0</v>
      </c>
      <c r="K49" s="2397">
        <f t="shared" si="12"/>
        <v>0</v>
      </c>
      <c r="L49" s="2397">
        <v>0</v>
      </c>
      <c r="M49" s="2397">
        <f t="shared" si="13"/>
        <v>0</v>
      </c>
      <c r="N49" s="2397">
        <f t="shared" si="13"/>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48">
      <c r="A50" s="1059" t="s">
        <v>1023</v>
      </c>
      <c r="B50" s="3035" t="s">
        <v>2930</v>
      </c>
      <c r="C50" s="1046"/>
      <c r="D50" s="2376">
        <f t="shared" si="9"/>
        <v>0</v>
      </c>
      <c r="E50" s="2398"/>
      <c r="F50" s="2396"/>
      <c r="G50" s="2374"/>
      <c r="H50" s="2420" t="str">
        <f t="shared" si="10"/>
        <v>——</v>
      </c>
      <c r="I50" s="2394">
        <v>0.05</v>
      </c>
      <c r="J50" s="2397">
        <f t="shared" si="11"/>
        <v>0</v>
      </c>
      <c r="K50" s="2397">
        <f t="shared" si="12"/>
        <v>0</v>
      </c>
      <c r="L50" s="2397">
        <v>0</v>
      </c>
      <c r="M50" s="2397">
        <f t="shared" si="13"/>
        <v>0</v>
      </c>
      <c r="N50" s="2397">
        <f t="shared" si="13"/>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9" t="s">
        <v>1024</v>
      </c>
      <c r="B51" s="2367" t="str">
        <f>估价对象房地状况!C24</f>
        <v>次干道-兴海路</v>
      </c>
      <c r="C51" s="1046"/>
      <c r="D51" s="2376">
        <f t="shared" si="9"/>
        <v>0</v>
      </c>
      <c r="E51" s="2398"/>
      <c r="F51" s="2396"/>
      <c r="G51" s="2374"/>
      <c r="H51" s="2420" t="str">
        <f t="shared" si="10"/>
        <v>——</v>
      </c>
      <c r="I51" s="2394">
        <v>0.08</v>
      </c>
      <c r="J51" s="2397">
        <f t="shared" si="11"/>
        <v>0</v>
      </c>
      <c r="K51" s="2397">
        <f t="shared" si="12"/>
        <v>0</v>
      </c>
      <c r="L51" s="2397">
        <v>0</v>
      </c>
      <c r="M51" s="2397">
        <f t="shared" si="13"/>
        <v>0</v>
      </c>
      <c r="N51" s="2397">
        <f t="shared" si="13"/>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36">
      <c r="A52" s="1059" t="s">
        <v>1025</v>
      </c>
      <c r="B52" s="3034" t="s">
        <v>2929</v>
      </c>
      <c r="C52" s="1046"/>
      <c r="D52" s="2376">
        <f t="shared" si="9"/>
        <v>0</v>
      </c>
      <c r="E52" s="2398"/>
      <c r="F52" s="2396"/>
      <c r="G52" s="2374"/>
      <c r="H52" s="2420" t="str">
        <f t="shared" si="10"/>
        <v>——</v>
      </c>
      <c r="I52" s="2394">
        <v>0.03</v>
      </c>
      <c r="J52" s="2397">
        <f t="shared" si="11"/>
        <v>0</v>
      </c>
      <c r="K52" s="2397">
        <f t="shared" si="12"/>
        <v>0</v>
      </c>
      <c r="L52" s="2397">
        <v>0</v>
      </c>
      <c r="M52" s="2397">
        <f t="shared" si="13"/>
        <v>0</v>
      </c>
      <c r="N52" s="2397">
        <f t="shared" si="13"/>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估价对象所在区域公共配套设施齐备情况一般</v>
      </c>
      <c r="C53" s="1046"/>
      <c r="D53" s="2376">
        <f t="shared" si="9"/>
        <v>0</v>
      </c>
      <c r="E53" s="2398"/>
      <c r="F53" s="2396"/>
      <c r="G53" s="2374"/>
      <c r="H53" s="2420" t="str">
        <f t="shared" si="10"/>
        <v>——</v>
      </c>
      <c r="I53" s="2394">
        <v>0.05</v>
      </c>
      <c r="J53" s="2397">
        <f t="shared" si="11"/>
        <v>0</v>
      </c>
      <c r="K53" s="2397">
        <f t="shared" si="12"/>
        <v>0</v>
      </c>
      <c r="L53" s="2397">
        <v>0</v>
      </c>
      <c r="M53" s="2397">
        <f t="shared" si="13"/>
        <v>0</v>
      </c>
      <c r="N53" s="2397">
        <f t="shared" si="13"/>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6"/>
      <c r="D54" s="2376">
        <f t="shared" si="9"/>
        <v>0</v>
      </c>
      <c r="E54" s="2398"/>
      <c r="F54" s="2396"/>
      <c r="G54" s="2374"/>
      <c r="H54" s="2420" t="str">
        <f t="shared" si="10"/>
        <v>——</v>
      </c>
      <c r="I54" s="2394">
        <v>0.1</v>
      </c>
      <c r="J54" s="2397">
        <f t="shared" si="11"/>
        <v>0</v>
      </c>
      <c r="K54" s="2397">
        <f t="shared" si="12"/>
        <v>0</v>
      </c>
      <c r="L54" s="2397">
        <v>0</v>
      </c>
      <c r="M54" s="2397">
        <f t="shared" si="13"/>
        <v>0</v>
      </c>
      <c r="N54" s="2397">
        <f t="shared" si="13"/>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48.6" thickBot="1">
      <c r="A55" s="2400" t="s">
        <v>1028</v>
      </c>
      <c r="B55" s="2371" t="str">
        <f>估价对象房地状况!C20</f>
        <v>区域自然环境：体育公园、金茂悦健身公园；人文环境；综合评价环境状况一般</v>
      </c>
      <c r="C55" s="1046"/>
      <c r="D55" s="2376">
        <f t="shared" si="9"/>
        <v>0</v>
      </c>
      <c r="E55" s="2402"/>
      <c r="F55" s="2396"/>
      <c r="G55" s="2374"/>
      <c r="H55" s="2420" t="str">
        <f t="shared" si="10"/>
        <v>——</v>
      </c>
      <c r="I55" s="2401">
        <v>0.06</v>
      </c>
      <c r="J55" s="2397">
        <f t="shared" si="11"/>
        <v>0</v>
      </c>
      <c r="K55" s="2397">
        <f t="shared" si="12"/>
        <v>0</v>
      </c>
      <c r="L55" s="2397">
        <v>0</v>
      </c>
      <c r="M55" s="2397">
        <f t="shared" si="13"/>
        <v>0</v>
      </c>
      <c r="N55" s="2397">
        <f t="shared" si="13"/>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4.4">
      <c r="A56" s="2383" t="s">
        <v>1029</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9" t="s">
        <v>1008</v>
      </c>
      <c r="B57" s="2367"/>
      <c r="C57" s="2389" t="s">
        <v>1010</v>
      </c>
      <c r="D57" s="2390" t="s">
        <v>1011</v>
      </c>
      <c r="E57" s="2391" t="s">
        <v>1013</v>
      </c>
      <c r="F57" s="2392" t="s">
        <v>2249</v>
      </c>
      <c r="G57" s="2390" t="s">
        <v>1014</v>
      </c>
      <c r="H57" s="2373" t="s">
        <v>2416</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24">
      <c r="A58" s="1059" t="s">
        <v>1030</v>
      </c>
      <c r="B58" s="2370">
        <f>估价对象房地状况!C17</f>
        <v>0</v>
      </c>
      <c r="C58" s="1046"/>
      <c r="D58" s="2376">
        <f t="shared" ref="D58:D66" si="14">SUMIF($J$57:$N$57,C58,J58:N58)</f>
        <v>0</v>
      </c>
      <c r="E58" s="2395">
        <f>ROUND(SUM(D58:D66),4)</f>
        <v>0</v>
      </c>
      <c r="F58" s="2396" t="str">
        <f>IF(E2="办公",SUMIF(L1:L12,G2,N1:N12),"——")</f>
        <v>——</v>
      </c>
      <c r="G58" s="2374"/>
      <c r="H58" s="2420" t="str">
        <f>IFERROR(ROUNDDOWN($F$58*I58/2,4),"——")</f>
        <v>——</v>
      </c>
      <c r="I58" s="2394">
        <v>0.24</v>
      </c>
      <c r="J58" s="2397">
        <f t="shared" ref="J58:J66" si="15">K58+$G58</f>
        <v>0</v>
      </c>
      <c r="K58" s="2397">
        <f t="shared" ref="K58:K66" si="16">$L58+$G58</f>
        <v>0</v>
      </c>
      <c r="L58" s="2397">
        <v>0</v>
      </c>
      <c r="M58" s="2397">
        <f t="shared" ref="M58:N66" si="17">L58-$G58</f>
        <v>0</v>
      </c>
      <c r="N58" s="2397">
        <f t="shared" si="17"/>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72">
      <c r="A59" s="1059" t="s">
        <v>1021</v>
      </c>
      <c r="B59" s="2367" t="str">
        <f>估价对象房地状况!C18</f>
        <v>估价对象周边道路状况一般、公共交通通达情况较差，有578、兴31、兴59路、停车便捷程度较好，综合评价交通便捷度较差</v>
      </c>
      <c r="C59" s="1046"/>
      <c r="D59" s="2376">
        <f t="shared" si="14"/>
        <v>0</v>
      </c>
      <c r="E59" s="2398"/>
      <c r="F59" s="2396"/>
      <c r="G59" s="2374"/>
      <c r="H59" s="2375" t="str">
        <f t="shared" ref="H59:H66" si="18">IFERROR($F$58*I59/2,"——")</f>
        <v>——</v>
      </c>
      <c r="I59" s="2394">
        <v>0.3</v>
      </c>
      <c r="J59" s="2397">
        <f t="shared" si="15"/>
        <v>0</v>
      </c>
      <c r="K59" s="2397">
        <f t="shared" si="16"/>
        <v>0</v>
      </c>
      <c r="L59" s="2397">
        <v>0</v>
      </c>
      <c r="M59" s="2397">
        <f t="shared" si="17"/>
        <v>0</v>
      </c>
      <c r="N59" s="2397">
        <f t="shared" si="17"/>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9" t="s">
        <v>1022</v>
      </c>
      <c r="B60" s="2367">
        <f>估价对象房地状况!C19</f>
        <v>0</v>
      </c>
      <c r="C60" s="1046"/>
      <c r="D60" s="2376">
        <f t="shared" si="14"/>
        <v>0</v>
      </c>
      <c r="E60" s="2398"/>
      <c r="F60" s="2396"/>
      <c r="G60" s="2374"/>
      <c r="H60" s="2375" t="str">
        <f t="shared" si="18"/>
        <v>——</v>
      </c>
      <c r="I60" s="2394">
        <v>0.08</v>
      </c>
      <c r="J60" s="2397">
        <f t="shared" si="15"/>
        <v>0</v>
      </c>
      <c r="K60" s="2397">
        <f t="shared" si="16"/>
        <v>0</v>
      </c>
      <c r="L60" s="2397">
        <v>0</v>
      </c>
      <c r="M60" s="2397">
        <f t="shared" si="17"/>
        <v>0</v>
      </c>
      <c r="N60" s="2397">
        <f t="shared" si="17"/>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48">
      <c r="A61" s="1059" t="s">
        <v>1023</v>
      </c>
      <c r="B61" s="3035" t="s">
        <v>2931</v>
      </c>
      <c r="C61" s="1046"/>
      <c r="D61" s="2376">
        <f t="shared" si="14"/>
        <v>0</v>
      </c>
      <c r="E61" s="2398"/>
      <c r="F61" s="2396"/>
      <c r="G61" s="2374"/>
      <c r="H61" s="2375" t="str">
        <f t="shared" si="18"/>
        <v>——</v>
      </c>
      <c r="I61" s="2394">
        <v>0.04</v>
      </c>
      <c r="J61" s="2397">
        <f t="shared" si="15"/>
        <v>0</v>
      </c>
      <c r="K61" s="2397">
        <f t="shared" si="16"/>
        <v>0</v>
      </c>
      <c r="L61" s="2397">
        <v>0</v>
      </c>
      <c r="M61" s="2397">
        <f t="shared" si="17"/>
        <v>0</v>
      </c>
      <c r="N61" s="2397">
        <f t="shared" si="17"/>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9" t="s">
        <v>1024</v>
      </c>
      <c r="B62" s="2367" t="str">
        <f>估价对象房地状况!C24</f>
        <v>次干道-兴海路</v>
      </c>
      <c r="C62" s="1046"/>
      <c r="D62" s="2376">
        <f t="shared" si="14"/>
        <v>0</v>
      </c>
      <c r="E62" s="2398"/>
      <c r="F62" s="2396"/>
      <c r="G62" s="2374"/>
      <c r="H62" s="2375" t="str">
        <f t="shared" si="18"/>
        <v>——</v>
      </c>
      <c r="I62" s="2394">
        <v>0.05</v>
      </c>
      <c r="J62" s="2397">
        <f t="shared" si="15"/>
        <v>0</v>
      </c>
      <c r="K62" s="2397">
        <f t="shared" si="16"/>
        <v>0</v>
      </c>
      <c r="L62" s="2397">
        <v>0</v>
      </c>
      <c r="M62" s="2397">
        <f t="shared" si="17"/>
        <v>0</v>
      </c>
      <c r="N62" s="2397">
        <f t="shared" si="17"/>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36">
      <c r="A63" s="1059" t="s">
        <v>1025</v>
      </c>
      <c r="B63" s="3034" t="s">
        <v>2929</v>
      </c>
      <c r="C63" s="1046"/>
      <c r="D63" s="2376">
        <f t="shared" si="14"/>
        <v>0</v>
      </c>
      <c r="E63" s="2398"/>
      <c r="F63" s="2396"/>
      <c r="G63" s="2374"/>
      <c r="H63" s="2375" t="str">
        <f t="shared" si="18"/>
        <v>——</v>
      </c>
      <c r="I63" s="2394">
        <v>0.05</v>
      </c>
      <c r="J63" s="2397">
        <f t="shared" si="15"/>
        <v>0</v>
      </c>
      <c r="K63" s="2397">
        <f t="shared" si="16"/>
        <v>0</v>
      </c>
      <c r="L63" s="2397">
        <v>0</v>
      </c>
      <c r="M63" s="2397">
        <f t="shared" si="17"/>
        <v>0</v>
      </c>
      <c r="N63" s="2397">
        <f t="shared" si="17"/>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9" t="s">
        <v>1026</v>
      </c>
      <c r="B64" s="2368" t="str">
        <f>估价对象房地状况!C21</f>
        <v>估价对象所在区域公共配套设施齐备情况一般</v>
      </c>
      <c r="C64" s="1046"/>
      <c r="D64" s="2376">
        <f t="shared" si="14"/>
        <v>0</v>
      </c>
      <c r="E64" s="2398"/>
      <c r="F64" s="2396"/>
      <c r="G64" s="2374"/>
      <c r="H64" s="2375" t="str">
        <f t="shared" si="18"/>
        <v>——</v>
      </c>
      <c r="I64" s="2394">
        <v>0.06</v>
      </c>
      <c r="J64" s="2397">
        <f t="shared" si="15"/>
        <v>0</v>
      </c>
      <c r="K64" s="2397">
        <f t="shared" si="16"/>
        <v>0</v>
      </c>
      <c r="L64" s="2397">
        <v>0</v>
      </c>
      <c r="M64" s="2397">
        <f t="shared" si="17"/>
        <v>0</v>
      </c>
      <c r="N64" s="2397">
        <f t="shared" si="17"/>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9" t="s">
        <v>1027</v>
      </c>
      <c r="B65" s="2368" t="str">
        <f>估价对象房地状况!C22</f>
        <v>估价对象所在区域基础设施水平</v>
      </c>
      <c r="C65" s="1046"/>
      <c r="D65" s="2376">
        <f t="shared" si="14"/>
        <v>0</v>
      </c>
      <c r="E65" s="2398"/>
      <c r="F65" s="2396"/>
      <c r="G65" s="2374"/>
      <c r="H65" s="2375" t="str">
        <f t="shared" si="18"/>
        <v>——</v>
      </c>
      <c r="I65" s="2394">
        <v>0.12</v>
      </c>
      <c r="J65" s="2397">
        <f t="shared" si="15"/>
        <v>0</v>
      </c>
      <c r="K65" s="2397">
        <f t="shared" si="16"/>
        <v>0</v>
      </c>
      <c r="L65" s="2397">
        <v>0</v>
      </c>
      <c r="M65" s="2397">
        <f t="shared" si="17"/>
        <v>0</v>
      </c>
      <c r="N65" s="2397">
        <f t="shared" si="17"/>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48.6" thickBot="1">
      <c r="A66" s="2400" t="s">
        <v>1028</v>
      </c>
      <c r="B66" s="2372" t="str">
        <f>估价对象房地状况!C20</f>
        <v>区域自然环境：体育公园、金茂悦健身公园；人文环境；综合评价环境状况一般</v>
      </c>
      <c r="C66" s="1046"/>
      <c r="D66" s="2376">
        <f t="shared" si="14"/>
        <v>0</v>
      </c>
      <c r="E66" s="2402"/>
      <c r="F66" s="2396"/>
      <c r="G66" s="2374"/>
      <c r="H66" s="2375" t="str">
        <f t="shared" si="18"/>
        <v>——</v>
      </c>
      <c r="I66" s="2401">
        <v>0.06</v>
      </c>
      <c r="J66" s="2397">
        <f t="shared" si="15"/>
        <v>0</v>
      </c>
      <c r="K66" s="2397">
        <f t="shared" si="16"/>
        <v>0</v>
      </c>
      <c r="L66" s="2397">
        <v>0</v>
      </c>
      <c r="M66" s="2397">
        <f t="shared" si="17"/>
        <v>0</v>
      </c>
      <c r="N66" s="2397">
        <f t="shared" si="17"/>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4.4">
      <c r="A67" s="2383" t="s">
        <v>1031</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9" t="s">
        <v>1008</v>
      </c>
      <c r="B68" s="2367"/>
      <c r="C68" s="2389" t="s">
        <v>1010</v>
      </c>
      <c r="D68" s="2390" t="s">
        <v>1011</v>
      </c>
      <c r="E68" s="2391" t="s">
        <v>1013</v>
      </c>
      <c r="F68" s="2392" t="s">
        <v>2250</v>
      </c>
      <c r="G68" s="2390" t="s">
        <v>1014</v>
      </c>
      <c r="H68" s="2373" t="s">
        <v>2416</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24">
      <c r="A69" s="1059" t="s">
        <v>1032</v>
      </c>
      <c r="B69" s="2370">
        <f>估价对象房地状况!C15</f>
        <v>0</v>
      </c>
      <c r="C69" s="1151"/>
      <c r="D69" s="2376">
        <f t="shared" ref="D69:D77" si="19">SUMIF($J$68:$N$68,C69,J69:N69)</f>
        <v>0</v>
      </c>
      <c r="E69" s="2395">
        <f>ROUND(SUM(D69:D77),4)</f>
        <v>0</v>
      </c>
      <c r="F69" s="2396" t="str">
        <f>IF(E2="住宅",SUMIF(L1:L12,G2,N1:N12),"——")</f>
        <v>——</v>
      </c>
      <c r="G69" s="2377"/>
      <c r="H69" s="2421" t="str">
        <f t="shared" ref="H69:H77" si="20">IFERROR(ROUNDDOWN($F$69*I69/2,4),"——")</f>
        <v>——</v>
      </c>
      <c r="I69" s="2394">
        <v>0.14000000000000001</v>
      </c>
      <c r="J69" s="2397">
        <f t="shared" ref="J69:J77" si="21">K69+$G69</f>
        <v>0</v>
      </c>
      <c r="K69" s="2397">
        <f t="shared" ref="K69:K77" si="22">$L69+$G69</f>
        <v>0</v>
      </c>
      <c r="L69" s="2397">
        <v>0</v>
      </c>
      <c r="M69" s="2397">
        <f t="shared" ref="M69:N77" si="23">L69-$G69</f>
        <v>0</v>
      </c>
      <c r="N69" s="2397">
        <f t="shared" si="23"/>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72">
      <c r="A70" s="1059" t="s">
        <v>1033</v>
      </c>
      <c r="B70" s="2367" t="str">
        <f>估价对象房地状况!C18</f>
        <v>估价对象周边道路状况一般、公共交通通达情况较差，有578、兴31、兴59路、停车便捷程度较好，综合评价交通便捷度较差</v>
      </c>
      <c r="C70" s="1151"/>
      <c r="D70" s="2376">
        <f t="shared" si="19"/>
        <v>0</v>
      </c>
      <c r="E70" s="2404"/>
      <c r="F70" s="2405"/>
      <c r="G70" s="2377"/>
      <c r="H70" s="2421" t="str">
        <f t="shared" si="20"/>
        <v>——</v>
      </c>
      <c r="I70" s="2394">
        <v>0.3</v>
      </c>
      <c r="J70" s="2397">
        <f t="shared" si="21"/>
        <v>0</v>
      </c>
      <c r="K70" s="2397">
        <f t="shared" si="22"/>
        <v>0</v>
      </c>
      <c r="L70" s="2397">
        <v>0</v>
      </c>
      <c r="M70" s="2397">
        <f t="shared" si="23"/>
        <v>0</v>
      </c>
      <c r="N70" s="2397">
        <f t="shared" si="23"/>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9" t="s">
        <v>1022</v>
      </c>
      <c r="B71" s="2367">
        <f>估价对象房地状况!C19</f>
        <v>0</v>
      </c>
      <c r="C71" s="1151"/>
      <c r="D71" s="2376">
        <f t="shared" si="19"/>
        <v>0</v>
      </c>
      <c r="E71" s="2404"/>
      <c r="F71" s="2405"/>
      <c r="G71" s="2377"/>
      <c r="H71" s="2421" t="str">
        <f t="shared" si="20"/>
        <v>——</v>
      </c>
      <c r="I71" s="2394">
        <v>0.08</v>
      </c>
      <c r="J71" s="2397">
        <f t="shared" si="21"/>
        <v>0</v>
      </c>
      <c r="K71" s="2397">
        <f t="shared" si="22"/>
        <v>0</v>
      </c>
      <c r="L71" s="2397">
        <v>0</v>
      </c>
      <c r="M71" s="2397">
        <f t="shared" si="23"/>
        <v>0</v>
      </c>
      <c r="N71" s="2397">
        <f t="shared" si="23"/>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3.8">
      <c r="A72" s="1059" t="s">
        <v>1034</v>
      </c>
      <c r="B72" s="2367" t="str">
        <f>估价对象房地状况!C24</f>
        <v>次干道-兴海路</v>
      </c>
      <c r="C72" s="1151"/>
      <c r="D72" s="2376">
        <f t="shared" si="19"/>
        <v>0</v>
      </c>
      <c r="E72" s="2404"/>
      <c r="F72" s="2405"/>
      <c r="G72" s="2377"/>
      <c r="H72" s="2421" t="str">
        <f t="shared" si="20"/>
        <v>——</v>
      </c>
      <c r="I72" s="2394">
        <v>0.04</v>
      </c>
      <c r="J72" s="2397">
        <f t="shared" si="21"/>
        <v>0</v>
      </c>
      <c r="K72" s="2397">
        <f t="shared" si="22"/>
        <v>0</v>
      </c>
      <c r="L72" s="2397">
        <v>0</v>
      </c>
      <c r="M72" s="2397">
        <f t="shared" si="23"/>
        <v>0</v>
      </c>
      <c r="N72" s="2397">
        <f t="shared" si="23"/>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9" t="s">
        <v>1026</v>
      </c>
      <c r="B73" s="2368" t="str">
        <f>估价对象房地状况!C21</f>
        <v>估价对象所在区域公共配套设施齐备情况一般</v>
      </c>
      <c r="C73" s="1151"/>
      <c r="D73" s="2376">
        <f t="shared" si="19"/>
        <v>0</v>
      </c>
      <c r="E73" s="2404"/>
      <c r="F73" s="2405"/>
      <c r="G73" s="2377"/>
      <c r="H73" s="2421" t="str">
        <f t="shared" si="20"/>
        <v>——</v>
      </c>
      <c r="I73" s="2394">
        <v>0.08</v>
      </c>
      <c r="J73" s="2397">
        <f t="shared" si="21"/>
        <v>0</v>
      </c>
      <c r="K73" s="2397">
        <f t="shared" si="22"/>
        <v>0</v>
      </c>
      <c r="L73" s="2397">
        <v>0</v>
      </c>
      <c r="M73" s="2397">
        <f t="shared" si="23"/>
        <v>0</v>
      </c>
      <c r="N73" s="2397">
        <f t="shared" si="23"/>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9" t="s">
        <v>1027</v>
      </c>
      <c r="B74" s="2368" t="str">
        <f>估价对象房地状况!C22</f>
        <v>估价对象所在区域基础设施水平</v>
      </c>
      <c r="C74" s="1151"/>
      <c r="D74" s="2376">
        <f t="shared" si="19"/>
        <v>0</v>
      </c>
      <c r="E74" s="2404"/>
      <c r="F74" s="2405"/>
      <c r="G74" s="2377"/>
      <c r="H74" s="2421" t="str">
        <f t="shared" si="20"/>
        <v>——</v>
      </c>
      <c r="I74" s="2394">
        <v>0.12</v>
      </c>
      <c r="J74" s="2397">
        <f t="shared" si="21"/>
        <v>0</v>
      </c>
      <c r="K74" s="2397">
        <f t="shared" si="22"/>
        <v>0</v>
      </c>
      <c r="L74" s="2397">
        <v>0</v>
      </c>
      <c r="M74" s="2397">
        <f t="shared" si="23"/>
        <v>0</v>
      </c>
      <c r="N74" s="2397">
        <f t="shared" si="23"/>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36">
      <c r="A75" s="1059" t="s">
        <v>1025</v>
      </c>
      <c r="B75" s="3034" t="s">
        <v>2929</v>
      </c>
      <c r="C75" s="1151"/>
      <c r="D75" s="2376">
        <f t="shared" si="19"/>
        <v>0</v>
      </c>
      <c r="E75" s="2404"/>
      <c r="F75" s="2405"/>
      <c r="G75" s="2377"/>
      <c r="H75" s="2421" t="str">
        <f t="shared" si="20"/>
        <v>——</v>
      </c>
      <c r="I75" s="2394">
        <v>0.05</v>
      </c>
      <c r="J75" s="2397">
        <f t="shared" si="21"/>
        <v>0</v>
      </c>
      <c r="K75" s="2397">
        <f t="shared" si="22"/>
        <v>0</v>
      </c>
      <c r="L75" s="2397">
        <v>0</v>
      </c>
      <c r="M75" s="2397">
        <f t="shared" si="23"/>
        <v>0</v>
      </c>
      <c r="N75" s="2397">
        <f t="shared" si="23"/>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48">
      <c r="A76" s="1059" t="s">
        <v>1028</v>
      </c>
      <c r="B76" s="2370" t="str">
        <f>估价对象房地状况!C20</f>
        <v>区域自然环境：体育公园、金茂悦健身公园；人文环境；综合评价环境状况一般</v>
      </c>
      <c r="C76" s="1151"/>
      <c r="D76" s="2376">
        <f t="shared" si="19"/>
        <v>0</v>
      </c>
      <c r="E76" s="2404"/>
      <c r="F76" s="2405"/>
      <c r="G76" s="2377"/>
      <c r="H76" s="2421" t="str">
        <f t="shared" si="20"/>
        <v>——</v>
      </c>
      <c r="I76" s="2394">
        <v>0.15</v>
      </c>
      <c r="J76" s="2397">
        <f t="shared" si="21"/>
        <v>0</v>
      </c>
      <c r="K76" s="2397">
        <f t="shared" si="22"/>
        <v>0</v>
      </c>
      <c r="L76" s="2397">
        <v>0</v>
      </c>
      <c r="M76" s="2397">
        <f t="shared" si="23"/>
        <v>0</v>
      </c>
      <c r="N76" s="2397">
        <f t="shared" si="23"/>
        <v>0</v>
      </c>
      <c r="P76" s="2179"/>
      <c r="Q76" s="2179"/>
      <c r="R76" s="2180"/>
      <c r="S76" s="2180"/>
      <c r="T76" s="2180"/>
      <c r="U76" s="2180"/>
      <c r="V76" s="2180"/>
      <c r="W76" s="2179"/>
      <c r="X76" s="2179"/>
      <c r="Y76" s="2179"/>
      <c r="Z76" s="2179"/>
      <c r="AA76" s="2179"/>
      <c r="AB76" s="2179"/>
      <c r="AC76" s="2179"/>
      <c r="AD76" s="2180"/>
      <c r="AJ76" s="1394"/>
      <c r="AN76" s="1395"/>
    </row>
    <row r="77" spans="1:40" ht="36.6" thickBot="1">
      <c r="A77" s="2400" t="s">
        <v>1035</v>
      </c>
      <c r="B77" s="1830"/>
      <c r="C77" s="1151"/>
      <c r="D77" s="2376">
        <f t="shared" si="19"/>
        <v>0</v>
      </c>
      <c r="E77" s="2406"/>
      <c r="F77" s="2405"/>
      <c r="G77" s="2377"/>
      <c r="H77" s="2421" t="str">
        <f t="shared" si="20"/>
        <v>——</v>
      </c>
      <c r="I77" s="2401">
        <v>0.04</v>
      </c>
      <c r="J77" s="2397">
        <f t="shared" si="21"/>
        <v>0</v>
      </c>
      <c r="K77" s="2397">
        <f t="shared" si="22"/>
        <v>0</v>
      </c>
      <c r="L77" s="2397">
        <v>0</v>
      </c>
      <c r="M77" s="2397">
        <f t="shared" si="23"/>
        <v>0</v>
      </c>
      <c r="N77" s="2397">
        <f t="shared" si="23"/>
        <v>0</v>
      </c>
      <c r="AC77" s="1396"/>
      <c r="AD77" s="1395"/>
      <c r="AJ77" s="1394"/>
      <c r="AN77" s="1395"/>
    </row>
    <row r="78" spans="1:40" ht="14.4">
      <c r="A78" s="2383" t="s">
        <v>1036</v>
      </c>
      <c r="B78" s="2384">
        <f>1+E80</f>
        <v>1</v>
      </c>
      <c r="C78" s="2403"/>
      <c r="D78" s="2386"/>
      <c r="E78" s="2387"/>
      <c r="F78" s="2388"/>
      <c r="G78" s="2382"/>
      <c r="H78" s="2382"/>
      <c r="I78" s="2382"/>
      <c r="J78" s="1058"/>
      <c r="K78" s="1058"/>
      <c r="L78" s="1058"/>
      <c r="M78" s="1058"/>
      <c r="N78" s="1058"/>
      <c r="AC78" s="1396"/>
      <c r="AD78" s="1395"/>
      <c r="AJ78" s="1394"/>
      <c r="AN78" s="1395"/>
    </row>
    <row r="79" spans="1:40" ht="24">
      <c r="A79" s="1059" t="s">
        <v>1008</v>
      </c>
      <c r="B79" s="2367"/>
      <c r="C79" s="2389" t="s">
        <v>1010</v>
      </c>
      <c r="D79" s="2390" t="s">
        <v>1011</v>
      </c>
      <c r="E79" s="2391" t="s">
        <v>1013</v>
      </c>
      <c r="F79" s="2392" t="s">
        <v>2251</v>
      </c>
      <c r="G79" s="2390" t="s">
        <v>1014</v>
      </c>
      <c r="H79" s="2373" t="s">
        <v>2416</v>
      </c>
      <c r="I79" s="2390" t="s">
        <v>1012</v>
      </c>
      <c r="J79" s="2393" t="s">
        <v>1015</v>
      </c>
      <c r="K79" s="2393" t="s">
        <v>1016</v>
      </c>
      <c r="L79" s="2393" t="s">
        <v>1017</v>
      </c>
      <c r="M79" s="2393" t="s">
        <v>1018</v>
      </c>
      <c r="N79" s="2393" t="s">
        <v>1019</v>
      </c>
      <c r="AC79" s="1396"/>
      <c r="AD79" s="1395"/>
      <c r="AJ79" s="1394"/>
      <c r="AN79" s="1395"/>
    </row>
    <row r="80" spans="1:40" ht="36">
      <c r="A80" s="1059" t="s">
        <v>1037</v>
      </c>
      <c r="B80" s="2367" t="str">
        <f>估价对象房地状况!G15</f>
        <v>估价对象位于XX开发区，园区建设成熟度XX，产业集聚程度XX</v>
      </c>
      <c r="C80" s="1046"/>
      <c r="D80" s="2376">
        <f t="shared" ref="D80:D87" si="24">SUMIF($J$79:$N$79,C80,J80:N80)</f>
        <v>0</v>
      </c>
      <c r="E80" s="2395">
        <f>ROUND(SUM(D80:D87),4)</f>
        <v>0</v>
      </c>
      <c r="F80" s="2396" t="str">
        <f>IF(E2="工业",SUMIF(L1:L12,G2,N1:N12),"——")</f>
        <v>——</v>
      </c>
      <c r="G80" s="2374"/>
      <c r="H80" s="2420" t="str">
        <f t="shared" ref="H80:H87" si="25">IFERROR(ROUNDDOWN($F$80*I80/2,4),"——")</f>
        <v>——</v>
      </c>
      <c r="I80" s="2394">
        <v>0.26</v>
      </c>
      <c r="J80" s="2397">
        <f t="shared" ref="J80:J87" si="26">K80+$G80</f>
        <v>0</v>
      </c>
      <c r="K80" s="2397">
        <f t="shared" ref="K80:K87" si="27">$L80+$G80</f>
        <v>0</v>
      </c>
      <c r="L80" s="2397">
        <v>0</v>
      </c>
      <c r="M80" s="2397">
        <f t="shared" ref="M80:N87" si="28">L80-$G80</f>
        <v>0</v>
      </c>
      <c r="N80" s="2397">
        <f t="shared" si="28"/>
        <v>0</v>
      </c>
      <c r="AC80" s="1396"/>
      <c r="AD80" s="1395"/>
      <c r="AJ80" s="1394"/>
      <c r="AN80" s="1395"/>
    </row>
    <row r="81" spans="1:40" ht="48">
      <c r="A81" s="1059" t="s">
        <v>1033</v>
      </c>
      <c r="B81" s="2367" t="str">
        <f>估价对象房地状况!G16</f>
        <v>估价对象周边道路状况、公共交通通达情况、停车便捷程度，综合评价交通便捷度较好</v>
      </c>
      <c r="C81" s="1046"/>
      <c r="D81" s="2376">
        <f t="shared" si="24"/>
        <v>0</v>
      </c>
      <c r="E81" s="2404"/>
      <c r="F81" s="2405"/>
      <c r="G81" s="2374"/>
      <c r="H81" s="2420" t="str">
        <f t="shared" si="25"/>
        <v>——</v>
      </c>
      <c r="I81" s="2394">
        <v>0.33</v>
      </c>
      <c r="J81" s="2397">
        <f t="shared" si="26"/>
        <v>0</v>
      </c>
      <c r="K81" s="2397">
        <f t="shared" si="27"/>
        <v>0</v>
      </c>
      <c r="L81" s="2397">
        <v>0</v>
      </c>
      <c r="M81" s="2397">
        <f t="shared" si="28"/>
        <v>0</v>
      </c>
      <c r="N81" s="2397">
        <f t="shared" si="28"/>
        <v>0</v>
      </c>
      <c r="AC81" s="1396"/>
      <c r="AD81" s="1395"/>
      <c r="AJ81" s="1394"/>
      <c r="AN81" s="1395"/>
    </row>
    <row r="82" spans="1:40" ht="24">
      <c r="A82" s="1059" t="s">
        <v>1022</v>
      </c>
      <c r="B82" s="2367">
        <f>估价对象房地状况!G17</f>
        <v>0</v>
      </c>
      <c r="C82" s="1046"/>
      <c r="D82" s="2376">
        <f t="shared" si="24"/>
        <v>0</v>
      </c>
      <c r="E82" s="2404"/>
      <c r="F82" s="2405"/>
      <c r="G82" s="2374"/>
      <c r="H82" s="2420" t="str">
        <f t="shared" si="25"/>
        <v>——</v>
      </c>
      <c r="I82" s="2394">
        <v>0.05</v>
      </c>
      <c r="J82" s="2397">
        <f t="shared" si="26"/>
        <v>0</v>
      </c>
      <c r="K82" s="2397">
        <f t="shared" si="27"/>
        <v>0</v>
      </c>
      <c r="L82" s="2397">
        <v>0</v>
      </c>
      <c r="M82" s="2397">
        <f t="shared" si="28"/>
        <v>0</v>
      </c>
      <c r="N82" s="2397">
        <f t="shared" si="28"/>
        <v>0</v>
      </c>
      <c r="AC82" s="1396"/>
      <c r="AD82" s="1395"/>
      <c r="AJ82" s="1394"/>
      <c r="AN82" s="1395"/>
    </row>
    <row r="83" spans="1:40" ht="13.8">
      <c r="A83" s="1059" t="s">
        <v>1034</v>
      </c>
      <c r="B83" s="2367">
        <f>估价对象房地状况!G22</f>
        <v>0</v>
      </c>
      <c r="C83" s="1046"/>
      <c r="D83" s="2376">
        <f t="shared" si="24"/>
        <v>0</v>
      </c>
      <c r="E83" s="2404"/>
      <c r="F83" s="2405"/>
      <c r="G83" s="2374"/>
      <c r="H83" s="2420" t="str">
        <f t="shared" si="25"/>
        <v>——</v>
      </c>
      <c r="I83" s="2394">
        <v>0.04</v>
      </c>
      <c r="J83" s="2397">
        <f t="shared" si="26"/>
        <v>0</v>
      </c>
      <c r="K83" s="2397">
        <f t="shared" si="27"/>
        <v>0</v>
      </c>
      <c r="L83" s="2397">
        <v>0</v>
      </c>
      <c r="M83" s="2397">
        <f t="shared" si="28"/>
        <v>0</v>
      </c>
      <c r="N83" s="2397">
        <f t="shared" si="28"/>
        <v>0</v>
      </c>
      <c r="AC83" s="1396"/>
      <c r="AD83" s="1395"/>
      <c r="AJ83" s="1394"/>
      <c r="AN83" s="1395"/>
    </row>
    <row r="84" spans="1:40" ht="24">
      <c r="A84" s="1059" t="s">
        <v>1026</v>
      </c>
      <c r="B84" s="2368" t="str">
        <f>估价对象房地状况!G19</f>
        <v>估价对象所在区域公共配套设施齐备情况</v>
      </c>
      <c r="C84" s="1046"/>
      <c r="D84" s="2376">
        <f t="shared" si="24"/>
        <v>0</v>
      </c>
      <c r="E84" s="2404"/>
      <c r="F84" s="2405"/>
      <c r="G84" s="2374"/>
      <c r="H84" s="2420" t="str">
        <f t="shared" si="25"/>
        <v>——</v>
      </c>
      <c r="I84" s="2394">
        <v>0.06</v>
      </c>
      <c r="J84" s="2397">
        <f t="shared" si="26"/>
        <v>0</v>
      </c>
      <c r="K84" s="2397">
        <f t="shared" si="27"/>
        <v>0</v>
      </c>
      <c r="L84" s="2397">
        <v>0</v>
      </c>
      <c r="M84" s="2397">
        <f t="shared" si="28"/>
        <v>0</v>
      </c>
      <c r="N84" s="2397">
        <f t="shared" si="28"/>
        <v>0</v>
      </c>
      <c r="AC84" s="1396"/>
      <c r="AD84" s="1395"/>
      <c r="AJ84" s="1394"/>
      <c r="AN84" s="1395"/>
    </row>
    <row r="85" spans="1:40" ht="24">
      <c r="A85" s="1059" t="s">
        <v>1027</v>
      </c>
      <c r="B85" s="2368" t="str">
        <f>估价对象房地状况!G20</f>
        <v>估价对象所在区域基础设施水平</v>
      </c>
      <c r="C85" s="1046"/>
      <c r="D85" s="2376">
        <f t="shared" si="24"/>
        <v>0</v>
      </c>
      <c r="E85" s="2404"/>
      <c r="F85" s="2405"/>
      <c r="G85" s="2374"/>
      <c r="H85" s="2420" t="str">
        <f t="shared" si="25"/>
        <v>——</v>
      </c>
      <c r="I85" s="2394">
        <v>0.15</v>
      </c>
      <c r="J85" s="2397">
        <f t="shared" si="26"/>
        <v>0</v>
      </c>
      <c r="K85" s="2397">
        <f t="shared" si="27"/>
        <v>0</v>
      </c>
      <c r="L85" s="2397">
        <v>0</v>
      </c>
      <c r="M85" s="2397">
        <f t="shared" si="28"/>
        <v>0</v>
      </c>
      <c r="N85" s="2397">
        <f t="shared" si="28"/>
        <v>0</v>
      </c>
      <c r="AC85" s="1396"/>
      <c r="AD85" s="1395"/>
      <c r="AJ85" s="1394"/>
      <c r="AN85" s="1395"/>
    </row>
    <row r="86" spans="1:40" ht="36">
      <c r="A86" s="1059" t="s">
        <v>1025</v>
      </c>
      <c r="B86" s="3034" t="s">
        <v>2929</v>
      </c>
      <c r="C86" s="1046"/>
      <c r="D86" s="2376">
        <f t="shared" si="24"/>
        <v>0</v>
      </c>
      <c r="E86" s="2404"/>
      <c r="F86" s="2405"/>
      <c r="G86" s="2374"/>
      <c r="H86" s="2420" t="str">
        <f t="shared" si="25"/>
        <v>——</v>
      </c>
      <c r="I86" s="2394">
        <v>0.05</v>
      </c>
      <c r="J86" s="2397">
        <f t="shared" si="26"/>
        <v>0</v>
      </c>
      <c r="K86" s="2397">
        <f t="shared" si="27"/>
        <v>0</v>
      </c>
      <c r="L86" s="2397">
        <v>0</v>
      </c>
      <c r="M86" s="2397">
        <f t="shared" si="28"/>
        <v>0</v>
      </c>
      <c r="N86" s="2397">
        <f t="shared" si="28"/>
        <v>0</v>
      </c>
      <c r="AC86" s="1396"/>
      <c r="AD86" s="1395"/>
      <c r="AJ86" s="1394"/>
      <c r="AN86" s="1395"/>
    </row>
    <row r="87" spans="1:40" ht="48.6" thickBot="1">
      <c r="A87" s="2400" t="s">
        <v>1038</v>
      </c>
      <c r="B87" s="2369" t="str">
        <f>估价对象房地状况!G18</f>
        <v>该园区内是否有污染型企业，绿化情况，卫生条件，整体环境状况判断</v>
      </c>
      <c r="C87" s="1046"/>
      <c r="D87" s="2376">
        <f t="shared" si="24"/>
        <v>0</v>
      </c>
      <c r="E87" s="2406"/>
      <c r="F87" s="2405"/>
      <c r="G87" s="2374"/>
      <c r="H87" s="2420" t="str">
        <f t="shared" si="25"/>
        <v>——</v>
      </c>
      <c r="I87" s="2401">
        <v>0.06</v>
      </c>
      <c r="J87" s="2397">
        <f t="shared" si="26"/>
        <v>0</v>
      </c>
      <c r="K87" s="2397">
        <f t="shared" si="27"/>
        <v>0</v>
      </c>
      <c r="L87" s="2397">
        <v>0</v>
      </c>
      <c r="M87" s="2397">
        <f t="shared" si="28"/>
        <v>0</v>
      </c>
      <c r="N87" s="2397">
        <f t="shared" si="28"/>
        <v>0</v>
      </c>
      <c r="AC87" s="1396"/>
      <c r="AD87" s="1395"/>
      <c r="AJ87" s="1394"/>
      <c r="AN87" s="1395"/>
    </row>
    <row r="90" spans="1:40">
      <c r="A90" s="3628" t="s">
        <v>1633</v>
      </c>
      <c r="B90" s="3628"/>
      <c r="C90" s="3628"/>
      <c r="D90" s="3628"/>
      <c r="E90" s="3628"/>
      <c r="F90" s="3628"/>
      <c r="G90" s="3628"/>
      <c r="H90" s="3628"/>
      <c r="I90" s="3628"/>
      <c r="J90" s="3628"/>
      <c r="K90" s="2409"/>
      <c r="L90" s="2409"/>
      <c r="M90" s="2409"/>
      <c r="N90" s="2409"/>
    </row>
    <row r="91" spans="1:40">
      <c r="A91" s="3629" t="s">
        <v>1443</v>
      </c>
      <c r="B91" s="3629" t="s">
        <v>1634</v>
      </c>
      <c r="C91" s="1132" t="s">
        <v>1635</v>
      </c>
      <c r="D91" s="1133"/>
      <c r="E91" s="1133"/>
      <c r="F91" s="1133"/>
      <c r="G91" s="1133"/>
      <c r="H91" s="1133"/>
      <c r="I91" s="1133"/>
      <c r="J91" s="1134"/>
      <c r="K91" s="1126"/>
      <c r="L91" s="1126"/>
      <c r="M91" s="1126"/>
      <c r="N91" s="1126"/>
    </row>
    <row r="92" spans="1:40">
      <c r="A92" s="3629"/>
      <c r="B92" s="3629"/>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615"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6"/>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6"/>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6"/>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6"/>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6"/>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6"/>
      <c r="B99" s="1135" t="s">
        <v>1636</v>
      </c>
      <c r="C99" s="1137">
        <f>$I$3</f>
        <v>8</v>
      </c>
      <c r="D99" s="1137">
        <f t="shared" ref="D99:N99" si="29">$I$3</f>
        <v>8</v>
      </c>
      <c r="E99" s="1137">
        <f t="shared" si="29"/>
        <v>8</v>
      </c>
      <c r="F99" s="1137">
        <f t="shared" si="29"/>
        <v>8</v>
      </c>
      <c r="G99" s="1137">
        <f t="shared" si="29"/>
        <v>8</v>
      </c>
      <c r="H99" s="1137">
        <f t="shared" si="29"/>
        <v>8</v>
      </c>
      <c r="I99" s="1137">
        <f t="shared" si="29"/>
        <v>8</v>
      </c>
      <c r="J99" s="1137">
        <f t="shared" si="29"/>
        <v>8</v>
      </c>
      <c r="K99" s="1137">
        <f t="shared" si="29"/>
        <v>8</v>
      </c>
      <c r="L99" s="1137">
        <f t="shared" si="29"/>
        <v>8</v>
      </c>
      <c r="M99" s="1137">
        <f t="shared" si="29"/>
        <v>8</v>
      </c>
      <c r="N99" s="1137">
        <f t="shared" si="29"/>
        <v>8</v>
      </c>
    </row>
    <row r="100" spans="1:14">
      <c r="A100" s="3617"/>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5" t="s">
        <v>1637</v>
      </c>
      <c r="B101" s="1139" t="s">
        <v>906</v>
      </c>
      <c r="C101" s="1140">
        <f>$G$3</f>
        <v>1.97</v>
      </c>
      <c r="D101" s="1140">
        <f t="shared" ref="D101:N101" si="30">$G$3</f>
        <v>1.97</v>
      </c>
      <c r="E101" s="1140">
        <f t="shared" si="30"/>
        <v>1.97</v>
      </c>
      <c r="F101" s="1140">
        <f t="shared" si="30"/>
        <v>1.97</v>
      </c>
      <c r="G101" s="1140">
        <f t="shared" si="30"/>
        <v>1.97</v>
      </c>
      <c r="H101" s="1140">
        <f t="shared" si="30"/>
        <v>1.97</v>
      </c>
      <c r="I101" s="1140">
        <f t="shared" si="30"/>
        <v>1.97</v>
      </c>
      <c r="J101" s="1140">
        <f t="shared" si="30"/>
        <v>1.97</v>
      </c>
      <c r="K101" s="1140">
        <f t="shared" si="30"/>
        <v>1.97</v>
      </c>
      <c r="L101" s="1140">
        <f t="shared" si="30"/>
        <v>1.97</v>
      </c>
      <c r="M101" s="1140">
        <f t="shared" si="30"/>
        <v>1.97</v>
      </c>
      <c r="N101" s="1140">
        <f t="shared" si="30"/>
        <v>1.97</v>
      </c>
    </row>
    <row r="102" spans="1:14">
      <c r="A102" s="3616"/>
      <c r="B102" s="1135">
        <v>1</v>
      </c>
      <c r="C102" s="1136">
        <f>1.9362/C101</f>
        <v>0.98284263959390861</v>
      </c>
      <c r="D102" s="1136">
        <f>1.9362/D101</f>
        <v>0.98284263959390861</v>
      </c>
      <c r="E102" s="1136">
        <f>1.8629/E101</f>
        <v>0.94563451776649743</v>
      </c>
      <c r="F102" s="1136">
        <f>1.8629/F101</f>
        <v>0.94563451776649743</v>
      </c>
      <c r="G102" s="1136">
        <f>1.8629/G101</f>
        <v>0.94563451776649743</v>
      </c>
      <c r="H102" s="1136">
        <f>1.8629/H101</f>
        <v>0.94563451776649743</v>
      </c>
      <c r="I102" s="1136">
        <f>1.8629/I101</f>
        <v>0.94563451776649743</v>
      </c>
      <c r="J102" s="1136">
        <f>1.942/J101</f>
        <v>0.98578680203045688</v>
      </c>
      <c r="K102" s="1136">
        <f>1.942/K101</f>
        <v>0.98578680203045688</v>
      </c>
      <c r="L102" s="1136">
        <f>1.942/L101</f>
        <v>0.98578680203045688</v>
      </c>
      <c r="M102" s="1136">
        <f>1.942/M101</f>
        <v>0.98578680203045688</v>
      </c>
      <c r="N102" s="1136">
        <f>1.942/N101</f>
        <v>0.98578680203045688</v>
      </c>
    </row>
    <row r="103" spans="1:14">
      <c r="A103" s="3616"/>
      <c r="B103" s="1135">
        <v>2</v>
      </c>
      <c r="C103" s="1136">
        <f>1.4198/C101</f>
        <v>0.72071065989847716</v>
      </c>
      <c r="D103" s="1136">
        <f>1.4198/D101</f>
        <v>0.72071065989847716</v>
      </c>
      <c r="E103" s="1136">
        <f>1.3372/E101</f>
        <v>0.67878172588832486</v>
      </c>
      <c r="F103" s="1136">
        <f>1.3372/F101</f>
        <v>0.67878172588832486</v>
      </c>
      <c r="G103" s="1136">
        <f>1.3372/G101</f>
        <v>0.67878172588832486</v>
      </c>
      <c r="H103" s="1136">
        <f>1.3372/H101</f>
        <v>0.67878172588832486</v>
      </c>
      <c r="I103" s="1136">
        <f>1.3372/I101</f>
        <v>0.67878172588832486</v>
      </c>
      <c r="J103" s="1136">
        <f>1.2799/J101</f>
        <v>0.6496954314720812</v>
      </c>
      <c r="K103" s="1136">
        <f>1.2799/K101</f>
        <v>0.6496954314720812</v>
      </c>
      <c r="L103" s="1136">
        <f>1.2799/L101</f>
        <v>0.6496954314720812</v>
      </c>
      <c r="M103" s="1136">
        <f>1.2799/M101</f>
        <v>0.6496954314720812</v>
      </c>
      <c r="N103" s="1136">
        <f>1.2799/N101</f>
        <v>0.6496954314720812</v>
      </c>
    </row>
    <row r="104" spans="1:14">
      <c r="A104" s="3616"/>
      <c r="B104" s="1135">
        <v>3</v>
      </c>
      <c r="C104" s="1136">
        <f>1.1594/C101</f>
        <v>0.58852791878172583</v>
      </c>
      <c r="D104" s="1136">
        <f>1.1594/D101</f>
        <v>0.58852791878172583</v>
      </c>
      <c r="E104" s="1136">
        <f>1.0788/E101</f>
        <v>0.54761421319796955</v>
      </c>
      <c r="F104" s="1136">
        <f>1.0788/F101</f>
        <v>0.54761421319796955</v>
      </c>
      <c r="G104" s="1136">
        <f>1.0788/G101</f>
        <v>0.54761421319796955</v>
      </c>
      <c r="H104" s="1136">
        <f>1.0788/H101</f>
        <v>0.54761421319796955</v>
      </c>
      <c r="I104" s="1136">
        <f>1.0788/I101</f>
        <v>0.54761421319796955</v>
      </c>
      <c r="J104" s="1136">
        <f>1.0072/J101</f>
        <v>0.51126903553299496</v>
      </c>
      <c r="K104" s="1136">
        <f>1.0072/K101</f>
        <v>0.51126903553299496</v>
      </c>
      <c r="L104" s="1136">
        <f>1.0072/L101</f>
        <v>0.51126903553299496</v>
      </c>
      <c r="M104" s="1136">
        <f>1.0072/M101</f>
        <v>0.51126903553299496</v>
      </c>
      <c r="N104" s="1136">
        <f>1.0072/N101</f>
        <v>0.51126903553299496</v>
      </c>
    </row>
    <row r="105" spans="1:14">
      <c r="A105" s="3616"/>
      <c r="B105" s="1135">
        <v>4</v>
      </c>
      <c r="C105" s="1136">
        <f>0.9622/C101</f>
        <v>0.48842639593908632</v>
      </c>
      <c r="D105" s="1136">
        <f>0.9622/D101</f>
        <v>0.48842639593908632</v>
      </c>
      <c r="E105" s="1136">
        <f>0.8656/E101</f>
        <v>0.43939086294416246</v>
      </c>
      <c r="F105" s="1136">
        <f>0.8656/F101</f>
        <v>0.43939086294416246</v>
      </c>
      <c r="G105" s="1136">
        <f>0.8656/G101</f>
        <v>0.43939086294416246</v>
      </c>
      <c r="H105" s="1136">
        <f>0.8656/H101</f>
        <v>0.43939086294416246</v>
      </c>
      <c r="I105" s="1136">
        <f>0.8656/I101</f>
        <v>0.43939086294416246</v>
      </c>
      <c r="J105" s="1136">
        <f>0.7525/J101</f>
        <v>0.38197969543147203</v>
      </c>
      <c r="K105" s="1136">
        <f>0.7525/K101</f>
        <v>0.38197969543147203</v>
      </c>
      <c r="L105" s="1136">
        <f>0.7525/L101</f>
        <v>0.38197969543147203</v>
      </c>
      <c r="M105" s="1136">
        <f>0.7525/M101</f>
        <v>0.38197969543147203</v>
      </c>
      <c r="N105" s="1136">
        <f>0.7525/N101</f>
        <v>0.38197969543147203</v>
      </c>
    </row>
    <row r="106" spans="1:14">
      <c r="A106" s="3616"/>
      <c r="B106" s="1135">
        <v>5</v>
      </c>
      <c r="C106" s="1136">
        <f>0.8417/C101</f>
        <v>0.42725888324873096</v>
      </c>
      <c r="D106" s="1136">
        <f>0.8417/D101</f>
        <v>0.42725888324873096</v>
      </c>
      <c r="E106" s="1136">
        <f>0.7371/E101</f>
        <v>0.37416243654822334</v>
      </c>
      <c r="F106" s="1136">
        <f>0.7371/F101</f>
        <v>0.37416243654822334</v>
      </c>
      <c r="G106" s="1136">
        <f>0.7371/G101</f>
        <v>0.37416243654822334</v>
      </c>
      <c r="H106" s="1136">
        <f>0.7371/H101</f>
        <v>0.37416243654822334</v>
      </c>
      <c r="I106" s="1136">
        <f>0.7371/I101</f>
        <v>0.37416243654822334</v>
      </c>
      <c r="J106" s="1136">
        <f>0.5659/J101</f>
        <v>0.28725888324873095</v>
      </c>
      <c r="K106" s="1136">
        <f>0.5659/K101</f>
        <v>0.28725888324873095</v>
      </c>
      <c r="L106" s="1136">
        <f>0.5659/L101</f>
        <v>0.28725888324873095</v>
      </c>
      <c r="M106" s="1136">
        <f>0.5659/M101</f>
        <v>0.28725888324873095</v>
      </c>
      <c r="N106" s="1136">
        <f>0.5659/N101</f>
        <v>0.28725888324873095</v>
      </c>
    </row>
    <row r="107" spans="1:14">
      <c r="A107" s="3616"/>
      <c r="B107" s="1135">
        <v>6</v>
      </c>
      <c r="C107" s="1136">
        <f>0.7608/C101</f>
        <v>0.38619289340101526</v>
      </c>
      <c r="D107" s="1136">
        <f>0.7608/D101</f>
        <v>0.38619289340101526</v>
      </c>
      <c r="E107" s="1136">
        <f>0.6482/E101</f>
        <v>0.32903553299492388</v>
      </c>
      <c r="F107" s="1136">
        <f>0.6482/F101</f>
        <v>0.32903553299492388</v>
      </c>
      <c r="G107" s="1136">
        <f>0.6482/G101</f>
        <v>0.32903553299492388</v>
      </c>
      <c r="H107" s="1136">
        <f>0.6482/H101</f>
        <v>0.32903553299492388</v>
      </c>
      <c r="I107" s="1136">
        <f>0.6482/I101</f>
        <v>0.32903553299492388</v>
      </c>
      <c r="J107" s="1136">
        <f>0.4525/J101</f>
        <v>0.22969543147208124</v>
      </c>
      <c r="K107" s="1136">
        <f>0.4525/K101</f>
        <v>0.22969543147208124</v>
      </c>
      <c r="L107" s="1136">
        <f>0.4525/L101</f>
        <v>0.22969543147208124</v>
      </c>
      <c r="M107" s="1136">
        <f>0.4525/M101</f>
        <v>0.22969543147208124</v>
      </c>
      <c r="N107" s="1136">
        <f>0.4525/N101</f>
        <v>0.22969543147208124</v>
      </c>
    </row>
    <row r="108" spans="1:14">
      <c r="A108" s="3616"/>
      <c r="B108" s="3618" t="s">
        <v>1638</v>
      </c>
      <c r="C108" s="1137">
        <f>C99</f>
        <v>8</v>
      </c>
      <c r="D108" s="1137">
        <f t="shared" ref="D108:N108" si="31">D99</f>
        <v>8</v>
      </c>
      <c r="E108" s="1137">
        <f t="shared" si="31"/>
        <v>8</v>
      </c>
      <c r="F108" s="1137">
        <f t="shared" si="31"/>
        <v>8</v>
      </c>
      <c r="G108" s="1137">
        <f t="shared" si="31"/>
        <v>8</v>
      </c>
      <c r="H108" s="1137">
        <f t="shared" si="31"/>
        <v>8</v>
      </c>
      <c r="I108" s="1137">
        <f t="shared" si="31"/>
        <v>8</v>
      </c>
      <c r="J108" s="1137">
        <f t="shared" si="31"/>
        <v>8</v>
      </c>
      <c r="K108" s="1137">
        <f t="shared" si="31"/>
        <v>8</v>
      </c>
      <c r="L108" s="1137">
        <f t="shared" si="31"/>
        <v>8</v>
      </c>
      <c r="M108" s="1137">
        <f t="shared" si="31"/>
        <v>8</v>
      </c>
      <c r="N108" s="1137">
        <f t="shared" si="31"/>
        <v>8</v>
      </c>
    </row>
    <row r="109" spans="1:14">
      <c r="A109" s="3617"/>
      <c r="B109" s="3619"/>
      <c r="C109" s="1138">
        <f>(-0.163*(C108^2)-0.59*C108+7617)*(10^(-4))/C101</f>
        <v>0.38588060913705585</v>
      </c>
      <c r="D109" s="1138">
        <f>(-0.163*(D108^2)-0.59*D108+7617)*(10^(-4))/D101</f>
        <v>0.38588060913705585</v>
      </c>
      <c r="E109" s="1138">
        <f>(-0.161*(E108^2)-7.509*E108+6533)*(10^(-4))/E101</f>
        <v>0.32805197969543148</v>
      </c>
      <c r="F109" s="1138">
        <f>(-0.161*(F108^2)-7.509*F108+6533)*(10^(-4))/F101</f>
        <v>0.32805197969543148</v>
      </c>
      <c r="G109" s="1138">
        <f>(-0.161*(G108^2)-7.509*G108+6533)*(10^(-4))/G101</f>
        <v>0.32805197969543148</v>
      </c>
      <c r="H109" s="1138">
        <f>(-0.161*(H108^2)-7.509*H108+6533)*(10^(-4))/H101</f>
        <v>0.32805197969543148</v>
      </c>
      <c r="I109" s="1138">
        <f>(-0.161*(I108^2)-7.509*I108+6533)*(10^(-4))/I101</f>
        <v>0.32805197969543148</v>
      </c>
      <c r="J109" s="1138">
        <f>(-0.214*(J108^2)-21.991*J108+4665)*(10^(-4))/J101</f>
        <v>0.22717644670050763</v>
      </c>
      <c r="K109" s="1138">
        <f>(-0.214*(K108^2)-21.991*K108+4665)*(10^(-4))/K101</f>
        <v>0.22717644670050763</v>
      </c>
      <c r="L109" s="1138">
        <f>(-0.214*(L108^2)-21.991*L108+4665)*(10^(-4))/L101</f>
        <v>0.22717644670050763</v>
      </c>
      <c r="M109" s="1138">
        <f>(-0.214*(M108^2)-21.991*M108+4665)*(10^(-4))/M101</f>
        <v>0.22717644670050763</v>
      </c>
      <c r="N109" s="1138">
        <f>(-0.214*(N108^2)-21.991*N108+4665)*(10^(-4))/N101</f>
        <v>0.22717644670050763</v>
      </c>
    </row>
    <row r="110" spans="1:14">
      <c r="A110" s="3622" t="s">
        <v>1639</v>
      </c>
      <c r="B110" s="3622"/>
      <c r="C110" s="3622"/>
      <c r="D110" s="3622"/>
      <c r="E110" s="3622"/>
      <c r="F110" s="3622"/>
      <c r="G110" s="3622"/>
      <c r="H110" s="3622"/>
      <c r="I110" s="3622"/>
      <c r="J110" s="3622"/>
      <c r="K110" s="2407"/>
      <c r="L110" s="2407"/>
      <c r="M110" s="2407"/>
      <c r="N110" s="2407"/>
    </row>
    <row r="112" spans="1:14" ht="12.6" thickBot="1"/>
    <row r="113" spans="1:13" ht="25.8" thickBot="1">
      <c r="A113" s="1012" t="s">
        <v>896</v>
      </c>
      <c r="B113" s="2410">
        <f>G3</f>
        <v>1.97</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3.2">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3.2">
      <c r="A115" s="1025" t="s">
        <v>900</v>
      </c>
      <c r="B115" s="1026">
        <f>ROUND(0.9335-0.0094*B113,4)</f>
        <v>0.91500000000000004</v>
      </c>
      <c r="C115" s="1026">
        <f>B115</f>
        <v>0.91500000000000004</v>
      </c>
      <c r="D115" s="1026">
        <f>ROUND(0.8331-0.0109*B113,4)</f>
        <v>0.81159999999999999</v>
      </c>
      <c r="E115" s="1026">
        <f>D115</f>
        <v>0.81159999999999999</v>
      </c>
      <c r="F115" s="1026">
        <f>E115</f>
        <v>0.81159999999999999</v>
      </c>
      <c r="G115" s="1026">
        <f>F115</f>
        <v>0.81159999999999999</v>
      </c>
      <c r="H115" s="1026">
        <f>G115</f>
        <v>0.81159999999999999</v>
      </c>
      <c r="I115" s="1026">
        <f>ROUND(0.689-0.0155*B113,4)</f>
        <v>0.65849999999999997</v>
      </c>
      <c r="J115" s="1026">
        <f t="shared" ref="J115:M118" si="32">I115</f>
        <v>0.65849999999999997</v>
      </c>
      <c r="K115" s="1026">
        <f t="shared" si="32"/>
        <v>0.65849999999999997</v>
      </c>
      <c r="L115" s="1026">
        <f t="shared" si="32"/>
        <v>0.65849999999999997</v>
      </c>
      <c r="M115" s="1027">
        <f t="shared" si="32"/>
        <v>0.65849999999999997</v>
      </c>
    </row>
    <row r="116" spans="1:13" ht="13.2">
      <c r="A116" s="1025" t="s">
        <v>901</v>
      </c>
      <c r="B116" s="1026">
        <f>ROUND(0.949-0.012*B113,4)</f>
        <v>0.9254</v>
      </c>
      <c r="C116" s="1026">
        <f>B116</f>
        <v>0.9254</v>
      </c>
      <c r="D116" s="1026">
        <f>ROUND(0.8567-0.013*B113,4)</f>
        <v>0.83109999999999995</v>
      </c>
      <c r="E116" s="1026">
        <f t="shared" ref="E116:H117" si="33">D116</f>
        <v>0.83109999999999995</v>
      </c>
      <c r="F116" s="1026">
        <f t="shared" si="33"/>
        <v>0.83109999999999995</v>
      </c>
      <c r="G116" s="1026">
        <f t="shared" si="33"/>
        <v>0.83109999999999995</v>
      </c>
      <c r="H116" s="1026">
        <f t="shared" si="33"/>
        <v>0.83109999999999995</v>
      </c>
      <c r="I116" s="1026">
        <f>ROUND(0.7694-0.014*B113,4)</f>
        <v>0.74180000000000001</v>
      </c>
      <c r="J116" s="1026">
        <f t="shared" si="32"/>
        <v>0.74180000000000001</v>
      </c>
      <c r="K116" s="1026">
        <f t="shared" si="32"/>
        <v>0.74180000000000001</v>
      </c>
      <c r="L116" s="1026">
        <f t="shared" si="32"/>
        <v>0.74180000000000001</v>
      </c>
      <c r="M116" s="1027">
        <f t="shared" si="32"/>
        <v>0.74180000000000001</v>
      </c>
    </row>
    <row r="117" spans="1:13" ht="13.2">
      <c r="A117" s="1028" t="s">
        <v>902</v>
      </c>
      <c r="B117" s="1026">
        <f>ROUND(0.8808-0.006*B113,4)</f>
        <v>0.86899999999999999</v>
      </c>
      <c r="C117" s="1026">
        <f>B117</f>
        <v>0.86899999999999999</v>
      </c>
      <c r="D117" s="1026">
        <f>ROUND(0.8748-0.008*B113,4)</f>
        <v>0.85899999999999999</v>
      </c>
      <c r="E117" s="1026">
        <f t="shared" si="33"/>
        <v>0.85899999999999999</v>
      </c>
      <c r="F117" s="1026">
        <f t="shared" si="33"/>
        <v>0.85899999999999999</v>
      </c>
      <c r="G117" s="1026">
        <f t="shared" si="33"/>
        <v>0.85899999999999999</v>
      </c>
      <c r="H117" s="1026">
        <f t="shared" si="33"/>
        <v>0.85899999999999999</v>
      </c>
      <c r="I117" s="1026">
        <f>ROUND(0.7412-0.0095*B113,4)</f>
        <v>0.72250000000000003</v>
      </c>
      <c r="J117" s="1026">
        <f t="shared" si="32"/>
        <v>0.72250000000000003</v>
      </c>
      <c r="K117" s="1026">
        <f t="shared" si="32"/>
        <v>0.72250000000000003</v>
      </c>
      <c r="L117" s="1026">
        <f t="shared" si="32"/>
        <v>0.72250000000000003</v>
      </c>
      <c r="M117" s="1027">
        <f t="shared" si="32"/>
        <v>0.72250000000000003</v>
      </c>
    </row>
    <row r="118" spans="1:13" ht="13.8" thickBot="1">
      <c r="A118" s="1029" t="s">
        <v>903</v>
      </c>
      <c r="B118" s="1030">
        <f>ROUND(0.7275-0.01*B113,4)</f>
        <v>0.70779999999999998</v>
      </c>
      <c r="C118" s="1030">
        <f>B118</f>
        <v>0.70779999999999998</v>
      </c>
      <c r="D118" s="1030">
        <f>ROUND(0.7043-0.012*B113,4)</f>
        <v>0.68069999999999997</v>
      </c>
      <c r="E118" s="1030">
        <f>D118</f>
        <v>0.68069999999999997</v>
      </c>
      <c r="F118" s="1030">
        <f>E118</f>
        <v>0.68069999999999997</v>
      </c>
      <c r="G118" s="1030">
        <f>ROUND(0.6299-0.0122*B113,4)</f>
        <v>0.60589999999999999</v>
      </c>
      <c r="H118" s="1030">
        <f>G118</f>
        <v>0.60589999999999999</v>
      </c>
      <c r="I118" s="1030">
        <f>ROUND(0.5667-0.0136*B113,4)</f>
        <v>0.53990000000000005</v>
      </c>
      <c r="J118" s="1030">
        <f t="shared" si="32"/>
        <v>0.53990000000000005</v>
      </c>
      <c r="K118" s="1030">
        <f t="shared" si="32"/>
        <v>0.53990000000000005</v>
      </c>
      <c r="L118" s="1030">
        <f t="shared" si="32"/>
        <v>0.53990000000000005</v>
      </c>
      <c r="M118" s="1031">
        <f t="shared" si="32"/>
        <v>0.53990000000000005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58" customWidth="1"/>
    <col min="2" max="9" width="8.21875" style="1097" customWidth="1"/>
    <col min="10" max="13" width="8.21875" style="1058"/>
    <col min="14" max="14" width="10" style="1058" customWidth="1"/>
    <col min="15" max="16" width="8.21875" style="1058"/>
    <col min="17" max="17" width="34.109375" style="1058" customWidth="1"/>
    <col min="18" max="18" width="8.21875" style="1058" customWidth="1"/>
    <col min="19" max="19" width="8.21875" style="1058"/>
    <col min="20" max="20" width="11.6640625" style="1058" customWidth="1"/>
    <col min="21" max="16384" width="8.2187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2" t="s">
        <v>2980</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SUM(J6:J10,J13)</f>
        <v>155</v>
      </c>
      <c r="K15" s="3049">
        <f>SUM(K6:K10,K13)</f>
        <v>155</v>
      </c>
      <c r="L15" s="3049">
        <f>SUM(L6:L10,L13)</f>
        <v>155</v>
      </c>
      <c r="M15" s="3049">
        <f>SUM(M6:M10,M13)</f>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29" t="s">
        <v>1007</v>
      </c>
      <c r="B18" s="1146" t="s">
        <v>1446</v>
      </c>
      <c r="C18" s="1123" t="s">
        <v>1447</v>
      </c>
      <c r="D18" s="1124"/>
      <c r="E18" s="1146">
        <v>1</v>
      </c>
      <c r="F18" s="1125" t="s">
        <v>1448</v>
      </c>
      <c r="G18" s="1126"/>
      <c r="H18" s="1097"/>
      <c r="I18" s="1097"/>
    </row>
    <row r="19" spans="1:9" s="1579" customFormat="1" ht="19.5" customHeight="1">
      <c r="A19" s="3629"/>
      <c r="B19" s="3629" t="s">
        <v>1449</v>
      </c>
      <c r="C19" s="1123" t="s">
        <v>1450</v>
      </c>
      <c r="D19" s="1124"/>
      <c r="E19" s="1146">
        <v>0.9</v>
      </c>
      <c r="F19" s="1125" t="s">
        <v>1451</v>
      </c>
      <c r="G19" s="1126"/>
      <c r="H19" s="1097"/>
      <c r="I19" s="1097"/>
    </row>
    <row r="20" spans="1:9" s="1579" customFormat="1" ht="19.5" customHeight="1">
      <c r="A20" s="3629"/>
      <c r="B20" s="3629"/>
      <c r="C20" s="1123" t="s">
        <v>1452</v>
      </c>
      <c r="D20" s="1124"/>
      <c r="E20" s="1146">
        <v>1.1000000000000001</v>
      </c>
      <c r="F20" s="1125" t="s">
        <v>1453</v>
      </c>
      <c r="G20" s="1126"/>
      <c r="H20" s="1097"/>
      <c r="I20" s="1097"/>
    </row>
    <row r="21" spans="1:9" s="1579" customFormat="1" ht="19.5" customHeight="1">
      <c r="A21" s="3629"/>
      <c r="B21" s="3629"/>
      <c r="C21" s="1123" t="s">
        <v>1454</v>
      </c>
      <c r="D21" s="1124"/>
      <c r="E21" s="1146">
        <v>0.8</v>
      </c>
      <c r="F21" s="1125" t="s">
        <v>1455</v>
      </c>
      <c r="G21" s="1126"/>
      <c r="H21" s="1097"/>
      <c r="I21" s="1097"/>
    </row>
    <row r="22" spans="1:9" s="1579" customFormat="1" ht="19.5" customHeight="1">
      <c r="A22" s="3629"/>
      <c r="B22" s="3629"/>
      <c r="C22" s="1123" t="s">
        <v>1456</v>
      </c>
      <c r="D22" s="1124"/>
      <c r="E22" s="1146">
        <v>0.5</v>
      </c>
      <c r="F22" s="1125"/>
      <c r="G22" s="1126"/>
      <c r="H22" s="1097"/>
      <c r="I22" s="1097"/>
    </row>
    <row r="23" spans="1:9" s="1579" customFormat="1" ht="19.5" customHeight="1">
      <c r="A23" s="3629" t="s">
        <v>1029</v>
      </c>
      <c r="B23" s="1146" t="s">
        <v>1446</v>
      </c>
      <c r="C23" s="1123" t="s">
        <v>1457</v>
      </c>
      <c r="D23" s="1124"/>
      <c r="E23" s="1146">
        <v>1</v>
      </c>
      <c r="F23" s="1125" t="s">
        <v>1458</v>
      </c>
      <c r="G23" s="1126"/>
      <c r="H23" s="1097"/>
      <c r="I23" s="1097"/>
    </row>
    <row r="24" spans="1:9" s="1579" customFormat="1" ht="19.5" customHeight="1">
      <c r="A24" s="3629"/>
      <c r="B24" s="3629" t="s">
        <v>1449</v>
      </c>
      <c r="C24" s="1123" t="s">
        <v>1459</v>
      </c>
      <c r="D24" s="1124"/>
      <c r="E24" s="1146">
        <v>0.5</v>
      </c>
      <c r="F24" s="1125"/>
      <c r="G24" s="1126"/>
      <c r="H24" s="1097"/>
      <c r="I24" s="1097"/>
    </row>
    <row r="25" spans="1:9" s="1579" customFormat="1" ht="19.5" customHeight="1">
      <c r="A25" s="3629"/>
      <c r="B25" s="3629"/>
      <c r="C25" s="1123" t="s">
        <v>1460</v>
      </c>
      <c r="D25" s="1124"/>
      <c r="E25" s="1146">
        <v>1.1000000000000001</v>
      </c>
      <c r="F25" s="1125"/>
      <c r="G25" s="1126"/>
      <c r="H25" s="1097"/>
      <c r="I25" s="1097"/>
    </row>
    <row r="26" spans="1:9" s="1579" customFormat="1" ht="19.5" customHeight="1">
      <c r="A26" s="3629"/>
      <c r="B26" s="3629"/>
      <c r="C26" s="1123" t="s">
        <v>1461</v>
      </c>
      <c r="D26" s="1124"/>
      <c r="E26" s="1146">
        <v>1.1000000000000001</v>
      </c>
      <c r="F26" s="1125"/>
      <c r="G26" s="1126"/>
      <c r="H26" s="1097"/>
      <c r="I26" s="1097"/>
    </row>
    <row r="27" spans="1:9" s="1579" customFormat="1" ht="19.5" customHeight="1">
      <c r="A27" s="3629"/>
      <c r="B27" s="3629"/>
      <c r="C27" s="1123" t="s">
        <v>1462</v>
      </c>
      <c r="D27" s="1124"/>
      <c r="E27" s="1146">
        <v>0.9</v>
      </c>
      <c r="F27" s="1125" t="s">
        <v>1463</v>
      </c>
      <c r="G27" s="1126"/>
      <c r="H27" s="1097"/>
      <c r="I27" s="1097"/>
    </row>
    <row r="28" spans="1:9" s="1579" customFormat="1" ht="19.5" customHeight="1">
      <c r="A28" s="3629"/>
      <c r="B28" s="3629"/>
      <c r="C28" s="1123" t="s">
        <v>1464</v>
      </c>
      <c r="D28" s="1124"/>
      <c r="E28" s="1146">
        <v>0.9</v>
      </c>
      <c r="F28" s="1125" t="s">
        <v>1465</v>
      </c>
      <c r="G28" s="1126"/>
      <c r="H28" s="1097"/>
      <c r="I28" s="1097"/>
    </row>
    <row r="29" spans="1:9" s="1579" customFormat="1" ht="19.5" customHeight="1">
      <c r="A29" s="3629"/>
      <c r="B29" s="3629"/>
      <c r="C29" s="1123" t="s">
        <v>1466</v>
      </c>
      <c r="D29" s="1124"/>
      <c r="E29" s="1146">
        <v>0.9</v>
      </c>
      <c r="F29" s="1125" t="s">
        <v>1467</v>
      </c>
      <c r="G29" s="1126"/>
      <c r="H29" s="1097"/>
      <c r="I29" s="1097"/>
    </row>
    <row r="30" spans="1:9" s="1579" customFormat="1" ht="19.5" customHeight="1">
      <c r="A30" s="3629"/>
      <c r="B30" s="3629"/>
      <c r="C30" s="1123" t="s">
        <v>1468</v>
      </c>
      <c r="D30" s="1124"/>
      <c r="E30" s="1146">
        <v>0.9</v>
      </c>
      <c r="F30" s="1125" t="s">
        <v>1469</v>
      </c>
      <c r="G30" s="1126"/>
      <c r="H30" s="1097"/>
      <c r="I30" s="1097"/>
    </row>
    <row r="31" spans="1:9" s="1579" customFormat="1" ht="19.5" customHeight="1">
      <c r="A31" s="3629"/>
      <c r="B31" s="3629"/>
      <c r="C31" s="1123" t="s">
        <v>1470</v>
      </c>
      <c r="D31" s="1124"/>
      <c r="E31" s="1146">
        <v>0.8</v>
      </c>
      <c r="F31" s="1125" t="s">
        <v>1471</v>
      </c>
      <c r="G31" s="1126"/>
      <c r="H31" s="1097"/>
      <c r="I31" s="1097"/>
    </row>
    <row r="32" spans="1:9" s="1579" customFormat="1" ht="19.5" customHeight="1">
      <c r="A32" s="3629"/>
      <c r="B32" s="3629"/>
      <c r="C32" s="1123" t="s">
        <v>1472</v>
      </c>
      <c r="D32" s="1124"/>
      <c r="E32" s="1146">
        <v>0.8</v>
      </c>
      <c r="F32" s="1125" t="s">
        <v>1473</v>
      </c>
      <c r="G32" s="1126"/>
      <c r="H32" s="1097"/>
      <c r="I32" s="1097"/>
    </row>
    <row r="33" spans="1:9" s="1579" customFormat="1" ht="19.5" customHeight="1">
      <c r="A33" s="3629" t="s">
        <v>1474</v>
      </c>
      <c r="B33" s="1146" t="s">
        <v>1446</v>
      </c>
      <c r="C33" s="1123" t="s">
        <v>1475</v>
      </c>
      <c r="D33" s="1124"/>
      <c r="E33" s="1146">
        <v>1</v>
      </c>
      <c r="F33" s="1125" t="s">
        <v>1476</v>
      </c>
      <c r="G33" s="1126"/>
      <c r="H33" s="1097"/>
      <c r="I33" s="1097"/>
    </row>
    <row r="34" spans="1:9" s="1579" customFormat="1" ht="19.5" customHeight="1">
      <c r="A34" s="3629"/>
      <c r="B34" s="1146" t="s">
        <v>1449</v>
      </c>
      <c r="C34" s="1123" t="s">
        <v>1477</v>
      </c>
      <c r="D34" s="1124"/>
      <c r="E34" s="1146">
        <v>1.5</v>
      </c>
      <c r="F34" s="1125" t="s">
        <v>1478</v>
      </c>
      <c r="G34" s="1126"/>
      <c r="H34" s="1097"/>
      <c r="I34" s="1097"/>
    </row>
    <row r="35" spans="1:9" s="1579" customFormat="1" ht="19.5" customHeight="1">
      <c r="A35" s="3629" t="s">
        <v>1432</v>
      </c>
      <c r="B35" s="1146" t="s">
        <v>1446</v>
      </c>
      <c r="C35" s="1123" t="s">
        <v>1479</v>
      </c>
      <c r="D35" s="1124"/>
      <c r="E35" s="1146">
        <v>1</v>
      </c>
      <c r="F35" s="1125" t="s">
        <v>1480</v>
      </c>
      <c r="G35" s="1126"/>
      <c r="H35" s="1097"/>
      <c r="I35" s="1097"/>
    </row>
    <row r="36" spans="1:9" s="1579" customFormat="1" ht="19.5" customHeight="1">
      <c r="A36" s="3629"/>
      <c r="B36" s="3629" t="s">
        <v>1449</v>
      </c>
      <c r="C36" s="1123" t="s">
        <v>1481</v>
      </c>
      <c r="D36" s="1124"/>
      <c r="E36" s="1146">
        <v>1</v>
      </c>
      <c r="F36" s="1125" t="s">
        <v>1482</v>
      </c>
      <c r="G36" s="1126"/>
      <c r="H36" s="1097"/>
      <c r="I36" s="1097"/>
    </row>
    <row r="37" spans="1:9" s="1579" customFormat="1" ht="19.5" customHeight="1">
      <c r="A37" s="3629"/>
      <c r="B37" s="3629"/>
      <c r="C37" s="1123" t="s">
        <v>1483</v>
      </c>
      <c r="D37" s="1124"/>
      <c r="E37" s="1146">
        <v>1.5</v>
      </c>
      <c r="F37" s="1125" t="s">
        <v>1484</v>
      </c>
      <c r="G37" s="1126"/>
      <c r="H37" s="1097"/>
      <c r="I37" s="1097"/>
    </row>
    <row r="38" spans="1:9" s="1579" customFormat="1" ht="19.5" customHeight="1">
      <c r="A38" s="3629"/>
      <c r="B38" s="3629"/>
      <c r="C38" s="1123" t="s">
        <v>1485</v>
      </c>
      <c r="D38" s="1124"/>
      <c r="E38" s="1146">
        <v>1</v>
      </c>
      <c r="F38" s="1125" t="s">
        <v>1486</v>
      </c>
      <c r="G38" s="1126"/>
      <c r="H38" s="1097"/>
      <c r="I38" s="1097"/>
    </row>
    <row r="39" spans="1:9" s="1579" customFormat="1" ht="19.5" customHeight="1">
      <c r="A39" s="3629"/>
      <c r="B39" s="3629"/>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36">
      <c r="A61" s="1146">
        <v>1</v>
      </c>
      <c r="B61" s="3629" t="s">
        <v>1501</v>
      </c>
      <c r="C61" s="1060" t="s">
        <v>1502</v>
      </c>
      <c r="D61" s="1060" t="s">
        <v>1503</v>
      </c>
      <c r="E61" s="1131">
        <v>0.5</v>
      </c>
      <c r="F61" s="1146">
        <v>80</v>
      </c>
      <c r="H61" s="1097">
        <f>SUMIF(C59:C119,基准地价!C8,E59:E119)</f>
        <v>0</v>
      </c>
    </row>
    <row r="62" spans="1:8" s="1097" customFormat="1" ht="36">
      <c r="A62" s="1146">
        <v>2</v>
      </c>
      <c r="B62" s="3629"/>
      <c r="C62" s="1060" t="s">
        <v>1504</v>
      </c>
      <c r="D62" s="1060" t="s">
        <v>1505</v>
      </c>
      <c r="E62" s="1131">
        <v>0.5</v>
      </c>
      <c r="F62" s="1146">
        <v>80</v>
      </c>
    </row>
    <row r="63" spans="1:8" s="1097" customFormat="1" ht="48">
      <c r="A63" s="1146">
        <v>3</v>
      </c>
      <c r="B63" s="3629"/>
      <c r="C63" s="1060" t="s">
        <v>1506</v>
      </c>
      <c r="D63" s="1060" t="s">
        <v>1507</v>
      </c>
      <c r="E63" s="1131">
        <v>0.5</v>
      </c>
      <c r="F63" s="1146">
        <v>80</v>
      </c>
    </row>
    <row r="64" spans="1:8" s="1097" customFormat="1" ht="48">
      <c r="A64" s="1146">
        <v>4</v>
      </c>
      <c r="B64" s="3629"/>
      <c r="C64" s="1060" t="s">
        <v>1508</v>
      </c>
      <c r="D64" s="1060" t="s">
        <v>1509</v>
      </c>
      <c r="E64" s="1131">
        <v>0.4</v>
      </c>
      <c r="F64" s="1146">
        <v>60</v>
      </c>
    </row>
    <row r="65" spans="1:6" s="1097" customFormat="1" ht="48">
      <c r="A65" s="1146">
        <v>5</v>
      </c>
      <c r="B65" s="3629"/>
      <c r="C65" s="1060" t="s">
        <v>1510</v>
      </c>
      <c r="D65" s="1060" t="s">
        <v>1511</v>
      </c>
      <c r="E65" s="1131">
        <v>0.2</v>
      </c>
      <c r="F65" s="1146">
        <v>30</v>
      </c>
    </row>
    <row r="66" spans="1:6" s="1097" customFormat="1" ht="48">
      <c r="A66" s="1146">
        <v>6</v>
      </c>
      <c r="B66" s="3629"/>
      <c r="C66" s="1060" t="s">
        <v>1512</v>
      </c>
      <c r="D66" s="1060" t="s">
        <v>1513</v>
      </c>
      <c r="E66" s="1131">
        <v>0.3</v>
      </c>
      <c r="F66" s="1146">
        <v>50</v>
      </c>
    </row>
    <row r="67" spans="1:6" s="1097" customFormat="1" ht="48">
      <c r="A67" s="1146">
        <v>7</v>
      </c>
      <c r="B67" s="3629"/>
      <c r="C67" s="1060" t="s">
        <v>1514</v>
      </c>
      <c r="D67" s="1060" t="s">
        <v>1515</v>
      </c>
      <c r="E67" s="1131">
        <v>0.2</v>
      </c>
      <c r="F67" s="1146">
        <v>30</v>
      </c>
    </row>
    <row r="68" spans="1:6" s="1097" customFormat="1" ht="48">
      <c r="A68" s="1146">
        <v>8</v>
      </c>
      <c r="B68" s="3629"/>
      <c r="C68" s="1060" t="s">
        <v>1516</v>
      </c>
      <c r="D68" s="1060" t="s">
        <v>1517</v>
      </c>
      <c r="E68" s="1131">
        <v>0.2</v>
      </c>
      <c r="F68" s="1146">
        <v>30</v>
      </c>
    </row>
    <row r="69" spans="1:6" s="1097" customFormat="1" ht="48">
      <c r="A69" s="1146">
        <v>9</v>
      </c>
      <c r="B69" s="3629"/>
      <c r="C69" s="1060" t="s">
        <v>1518</v>
      </c>
      <c r="D69" s="1060" t="s">
        <v>1519</v>
      </c>
      <c r="E69" s="1131">
        <v>0.2</v>
      </c>
      <c r="F69" s="1146">
        <v>30</v>
      </c>
    </row>
    <row r="70" spans="1:6" s="1097" customFormat="1" ht="60">
      <c r="A70" s="1146">
        <v>10</v>
      </c>
      <c r="B70" s="3629"/>
      <c r="C70" s="1060" t="s">
        <v>1520</v>
      </c>
      <c r="D70" s="1060" t="s">
        <v>1521</v>
      </c>
      <c r="E70" s="1131">
        <v>0.2</v>
      </c>
      <c r="F70" s="1146">
        <v>30</v>
      </c>
    </row>
    <row r="71" spans="1:6" s="1097" customFormat="1" ht="60">
      <c r="A71" s="1146">
        <v>11</v>
      </c>
      <c r="B71" s="3629"/>
      <c r="C71" s="1060" t="s">
        <v>1522</v>
      </c>
      <c r="D71" s="1060" t="s">
        <v>1523</v>
      </c>
      <c r="E71" s="1131">
        <v>0.2</v>
      </c>
      <c r="F71" s="1146">
        <v>30</v>
      </c>
    </row>
    <row r="72" spans="1:6" s="1097" customFormat="1" ht="36">
      <c r="A72" s="1146">
        <v>12</v>
      </c>
      <c r="B72" s="3629"/>
      <c r="C72" s="1060" t="s">
        <v>1524</v>
      </c>
      <c r="D72" s="1060" t="s">
        <v>1525</v>
      </c>
      <c r="E72" s="1131">
        <v>0.5</v>
      </c>
      <c r="F72" s="1146">
        <v>80</v>
      </c>
    </row>
    <row r="73" spans="1:6" s="1097" customFormat="1" ht="36">
      <c r="A73" s="1146">
        <v>13</v>
      </c>
      <c r="B73" s="3629"/>
      <c r="C73" s="1060" t="s">
        <v>1526</v>
      </c>
      <c r="D73" s="1060" t="s">
        <v>1527</v>
      </c>
      <c r="E73" s="1131">
        <v>0.4</v>
      </c>
      <c r="F73" s="1146">
        <v>60</v>
      </c>
    </row>
    <row r="74" spans="1:6" s="1097" customFormat="1" ht="36">
      <c r="A74" s="1146">
        <v>14</v>
      </c>
      <c r="B74" s="3629"/>
      <c r="C74" s="1060" t="s">
        <v>1528</v>
      </c>
      <c r="D74" s="1060" t="s">
        <v>1529</v>
      </c>
      <c r="E74" s="1131">
        <v>0.2</v>
      </c>
      <c r="F74" s="1146">
        <v>30</v>
      </c>
    </row>
    <row r="75" spans="1:6" s="1097" customFormat="1" ht="36">
      <c r="A75" s="1146">
        <v>15</v>
      </c>
      <c r="B75" s="3629"/>
      <c r="C75" s="1060" t="s">
        <v>1530</v>
      </c>
      <c r="D75" s="1060" t="s">
        <v>1531</v>
      </c>
      <c r="E75" s="1131">
        <v>0.2</v>
      </c>
      <c r="F75" s="1146">
        <v>30</v>
      </c>
    </row>
    <row r="76" spans="1:6" s="1097" customFormat="1" ht="36">
      <c r="A76" s="1146">
        <v>16</v>
      </c>
      <c r="B76" s="3629" t="s">
        <v>1532</v>
      </c>
      <c r="C76" s="1060" t="s">
        <v>1533</v>
      </c>
      <c r="D76" s="1060" t="s">
        <v>1534</v>
      </c>
      <c r="E76" s="1131">
        <v>0.5</v>
      </c>
      <c r="F76" s="1146">
        <v>80</v>
      </c>
    </row>
    <row r="77" spans="1:6" s="1097" customFormat="1" ht="36">
      <c r="A77" s="1146">
        <v>17</v>
      </c>
      <c r="B77" s="3629"/>
      <c r="C77" s="1060" t="s">
        <v>1535</v>
      </c>
      <c r="D77" s="1060" t="s">
        <v>1536</v>
      </c>
      <c r="E77" s="1131">
        <v>0.5</v>
      </c>
      <c r="F77" s="1146">
        <v>80</v>
      </c>
    </row>
    <row r="78" spans="1:6" s="1097" customFormat="1" ht="36">
      <c r="A78" s="1146">
        <v>18</v>
      </c>
      <c r="B78" s="3629"/>
      <c r="C78" s="1060" t="s">
        <v>1537</v>
      </c>
      <c r="D78" s="1060" t="s">
        <v>1538</v>
      </c>
      <c r="E78" s="1131">
        <v>0.2</v>
      </c>
      <c r="F78" s="1146">
        <v>30</v>
      </c>
    </row>
    <row r="79" spans="1:6" s="1097" customFormat="1" ht="36">
      <c r="A79" s="1146">
        <v>19</v>
      </c>
      <c r="B79" s="3629"/>
      <c r="C79" s="1060" t="s">
        <v>1539</v>
      </c>
      <c r="D79" s="1060" t="s">
        <v>1540</v>
      </c>
      <c r="E79" s="1131">
        <v>0.5</v>
      </c>
      <c r="F79" s="1146">
        <v>80</v>
      </c>
    </row>
    <row r="80" spans="1:6" s="1097" customFormat="1" ht="36">
      <c r="A80" s="1146">
        <v>20</v>
      </c>
      <c r="B80" s="3629"/>
      <c r="C80" s="1060" t="s">
        <v>1541</v>
      </c>
      <c r="D80" s="1060" t="s">
        <v>1542</v>
      </c>
      <c r="E80" s="1131">
        <v>0.2</v>
      </c>
      <c r="F80" s="1146">
        <v>30</v>
      </c>
    </row>
    <row r="81" spans="1:6" s="1097" customFormat="1" ht="36">
      <c r="A81" s="1146">
        <v>21</v>
      </c>
      <c r="B81" s="3629"/>
      <c r="C81" s="1060" t="s">
        <v>1543</v>
      </c>
      <c r="D81" s="1060" t="s">
        <v>1544</v>
      </c>
      <c r="E81" s="1131">
        <v>0.2</v>
      </c>
      <c r="F81" s="1146">
        <v>30</v>
      </c>
    </row>
    <row r="82" spans="1:6" s="1097" customFormat="1" ht="60">
      <c r="A82" s="1146">
        <v>22</v>
      </c>
      <c r="B82" s="3629"/>
      <c r="C82" s="1060" t="s">
        <v>1545</v>
      </c>
      <c r="D82" s="1060" t="s">
        <v>1546</v>
      </c>
      <c r="E82" s="1131">
        <v>0.2</v>
      </c>
      <c r="F82" s="1146">
        <v>30</v>
      </c>
    </row>
    <row r="83" spans="1:6" s="1097" customFormat="1" ht="60">
      <c r="A83" s="1146">
        <v>23</v>
      </c>
      <c r="B83" s="3629"/>
      <c r="C83" s="1060" t="s">
        <v>1547</v>
      </c>
      <c r="D83" s="1060" t="s">
        <v>1548</v>
      </c>
      <c r="E83" s="1131">
        <v>0.2</v>
      </c>
      <c r="F83" s="1146">
        <v>30</v>
      </c>
    </row>
    <row r="84" spans="1:6" s="1097" customFormat="1" ht="48">
      <c r="A84" s="1146">
        <v>24</v>
      </c>
      <c r="B84" s="3629"/>
      <c r="C84" s="1060" t="s">
        <v>1549</v>
      </c>
      <c r="D84" s="1060" t="s">
        <v>1550</v>
      </c>
      <c r="E84" s="1131">
        <v>0.2</v>
      </c>
      <c r="F84" s="1146">
        <v>30</v>
      </c>
    </row>
    <row r="85" spans="1:6" s="1097" customFormat="1" ht="36">
      <c r="A85" s="1146">
        <v>25</v>
      </c>
      <c r="B85" s="3629"/>
      <c r="C85" s="1060" t="s">
        <v>1551</v>
      </c>
      <c r="D85" s="1060" t="s">
        <v>1552</v>
      </c>
      <c r="E85" s="1131">
        <v>0.5</v>
      </c>
      <c r="F85" s="1146">
        <v>80</v>
      </c>
    </row>
    <row r="86" spans="1:6" s="1097" customFormat="1" ht="36">
      <c r="A86" s="1146">
        <v>26</v>
      </c>
      <c r="B86" s="3629"/>
      <c r="C86" s="1060" t="s">
        <v>1553</v>
      </c>
      <c r="D86" s="1060" t="s">
        <v>1554</v>
      </c>
      <c r="E86" s="1131">
        <v>0.2</v>
      </c>
      <c r="F86" s="1146">
        <v>30</v>
      </c>
    </row>
    <row r="87" spans="1:6" s="1097" customFormat="1" ht="36">
      <c r="A87" s="1146">
        <v>27</v>
      </c>
      <c r="B87" s="3629"/>
      <c r="C87" s="1060" t="s">
        <v>1555</v>
      </c>
      <c r="D87" s="1060" t="s">
        <v>1556</v>
      </c>
      <c r="E87" s="1131">
        <v>0.2</v>
      </c>
      <c r="F87" s="1146">
        <v>30</v>
      </c>
    </row>
    <row r="88" spans="1:6" s="1097" customFormat="1" ht="36">
      <c r="A88" s="1146">
        <v>28</v>
      </c>
      <c r="B88" s="3629"/>
      <c r="C88" s="1060" t="s">
        <v>1557</v>
      </c>
      <c r="D88" s="1060" t="s">
        <v>1558</v>
      </c>
      <c r="E88" s="1131">
        <v>0.2</v>
      </c>
      <c r="F88" s="1146">
        <v>30</v>
      </c>
    </row>
    <row r="89" spans="1:6" s="1097" customFormat="1" ht="36">
      <c r="A89" s="1146">
        <v>29</v>
      </c>
      <c r="B89" s="3629"/>
      <c r="C89" s="1060" t="s">
        <v>1559</v>
      </c>
      <c r="D89" s="1060" t="s">
        <v>1560</v>
      </c>
      <c r="E89" s="1131">
        <v>0.2</v>
      </c>
      <c r="F89" s="1146">
        <v>30</v>
      </c>
    </row>
    <row r="90" spans="1:6" s="1097" customFormat="1" ht="36">
      <c r="A90" s="1146">
        <v>30</v>
      </c>
      <c r="B90" s="3629"/>
      <c r="C90" s="1060" t="s">
        <v>1561</v>
      </c>
      <c r="D90" s="1060" t="s">
        <v>1562</v>
      </c>
      <c r="E90" s="1131">
        <v>0.2</v>
      </c>
      <c r="F90" s="1146">
        <v>30</v>
      </c>
    </row>
    <row r="91" spans="1:6" s="1097" customFormat="1" ht="48">
      <c r="A91" s="1146">
        <v>31</v>
      </c>
      <c r="B91" s="3629"/>
      <c r="C91" s="1060" t="s">
        <v>1563</v>
      </c>
      <c r="D91" s="1060" t="s">
        <v>1564</v>
      </c>
      <c r="E91" s="1131">
        <v>0.2</v>
      </c>
      <c r="F91" s="1146">
        <v>30</v>
      </c>
    </row>
    <row r="92" spans="1:6" s="1097" customFormat="1" ht="36">
      <c r="A92" s="1146">
        <v>32</v>
      </c>
      <c r="B92" s="3629" t="s">
        <v>1565</v>
      </c>
      <c r="C92" s="1146" t="s">
        <v>1566</v>
      </c>
      <c r="D92" s="1060" t="s">
        <v>1567</v>
      </c>
      <c r="E92" s="1131">
        <v>0.2</v>
      </c>
      <c r="F92" s="1146">
        <v>30</v>
      </c>
    </row>
    <row r="93" spans="1:6" s="1097" customFormat="1" ht="36">
      <c r="A93" s="1146">
        <v>33</v>
      </c>
      <c r="B93" s="3629"/>
      <c r="C93" s="1146" t="s">
        <v>1568</v>
      </c>
      <c r="D93" s="1060" t="s">
        <v>1569</v>
      </c>
      <c r="E93" s="1131">
        <v>0.2</v>
      </c>
      <c r="F93" s="1146">
        <v>30</v>
      </c>
    </row>
    <row r="94" spans="1:6" s="1097" customFormat="1" ht="60">
      <c r="A94" s="1146">
        <v>34</v>
      </c>
      <c r="B94" s="3629"/>
      <c r="C94" s="1146" t="s">
        <v>1570</v>
      </c>
      <c r="D94" s="1060" t="s">
        <v>1571</v>
      </c>
      <c r="E94" s="1131">
        <v>0.2</v>
      </c>
      <c r="F94" s="1146">
        <v>30</v>
      </c>
    </row>
    <row r="95" spans="1:6" s="1097" customFormat="1" ht="48">
      <c r="A95" s="1146">
        <v>35</v>
      </c>
      <c r="B95" s="3629"/>
      <c r="C95" s="1146" t="s">
        <v>1572</v>
      </c>
      <c r="D95" s="1060" t="s">
        <v>1573</v>
      </c>
      <c r="E95" s="1131">
        <v>0.2</v>
      </c>
      <c r="F95" s="1146">
        <v>30</v>
      </c>
    </row>
    <row r="96" spans="1:6" s="1097" customFormat="1" ht="72">
      <c r="A96" s="1146">
        <v>36</v>
      </c>
      <c r="B96" s="3629"/>
      <c r="C96" s="1060" t="s">
        <v>1574</v>
      </c>
      <c r="D96" s="1060" t="s">
        <v>1575</v>
      </c>
      <c r="E96" s="1131">
        <v>0.2</v>
      </c>
      <c r="F96" s="1146">
        <v>30</v>
      </c>
    </row>
    <row r="97" spans="1:6" s="1097" customFormat="1" ht="36">
      <c r="A97" s="1146">
        <v>37</v>
      </c>
      <c r="B97" s="3629"/>
      <c r="C97" s="1146" t="s">
        <v>1576</v>
      </c>
      <c r="D97" s="1060" t="s">
        <v>1577</v>
      </c>
      <c r="E97" s="1131">
        <v>0.2</v>
      </c>
      <c r="F97" s="1146">
        <v>30</v>
      </c>
    </row>
    <row r="98" spans="1:6" s="1097" customFormat="1" ht="36">
      <c r="A98" s="1146">
        <v>38</v>
      </c>
      <c r="B98" s="3629"/>
      <c r="C98" s="1146" t="s">
        <v>1578</v>
      </c>
      <c r="D98" s="1060" t="s">
        <v>1579</v>
      </c>
      <c r="E98" s="1131">
        <v>0.2</v>
      </c>
      <c r="F98" s="1146">
        <v>30</v>
      </c>
    </row>
    <row r="99" spans="1:6" s="1097" customFormat="1" ht="36">
      <c r="A99" s="1146">
        <v>39</v>
      </c>
      <c r="B99" s="3629" t="s">
        <v>1580</v>
      </c>
      <c r="C99" s="1146" t="s">
        <v>1581</v>
      </c>
      <c r="D99" s="1060" t="s">
        <v>1582</v>
      </c>
      <c r="E99" s="1131">
        <v>0.3</v>
      </c>
      <c r="F99" s="1146">
        <v>50</v>
      </c>
    </row>
    <row r="100" spans="1:6" s="1097" customFormat="1" ht="36">
      <c r="A100" s="1146">
        <v>40</v>
      </c>
      <c r="B100" s="3629"/>
      <c r="C100" s="1146" t="s">
        <v>1583</v>
      </c>
      <c r="D100" s="1060" t="s">
        <v>1584</v>
      </c>
      <c r="E100" s="1131">
        <v>0.2</v>
      </c>
      <c r="F100" s="1146">
        <v>30</v>
      </c>
    </row>
    <row r="101" spans="1:6" s="1097" customFormat="1" ht="36">
      <c r="A101" s="1146">
        <v>41</v>
      </c>
      <c r="B101" s="3629"/>
      <c r="C101" s="1146" t="s">
        <v>1585</v>
      </c>
      <c r="D101" s="1060" t="s">
        <v>1582</v>
      </c>
      <c r="E101" s="1131">
        <v>0.2</v>
      </c>
      <c r="F101" s="1146">
        <v>30</v>
      </c>
    </row>
    <row r="102" spans="1:6" s="1097" customFormat="1" ht="72">
      <c r="A102" s="1146">
        <v>42</v>
      </c>
      <c r="B102" s="1146" t="s">
        <v>1586</v>
      </c>
      <c r="C102" s="1060" t="s">
        <v>1587</v>
      </c>
      <c r="D102" s="1060" t="s">
        <v>1588</v>
      </c>
      <c r="E102" s="1131">
        <v>0.2</v>
      </c>
      <c r="F102" s="1146">
        <v>30</v>
      </c>
    </row>
    <row r="103" spans="1:6" s="1097" customFormat="1" ht="36">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48">
      <c r="A105" s="1146">
        <v>45</v>
      </c>
      <c r="B105" s="3629" t="s">
        <v>1595</v>
      </c>
      <c r="C105" s="1146" t="s">
        <v>1596</v>
      </c>
      <c r="D105" s="1060" t="s">
        <v>1597</v>
      </c>
      <c r="E105" s="1131">
        <v>0.2</v>
      </c>
      <c r="F105" s="1146">
        <v>30</v>
      </c>
    </row>
    <row r="106" spans="1:6" s="1097" customFormat="1" ht="48">
      <c r="A106" s="1146">
        <v>46</v>
      </c>
      <c r="B106" s="3629"/>
      <c r="C106" s="1146" t="s">
        <v>1598</v>
      </c>
      <c r="D106" s="1060" t="s">
        <v>1599</v>
      </c>
      <c r="E106" s="1131">
        <v>0.2</v>
      </c>
      <c r="F106" s="1146">
        <v>30</v>
      </c>
    </row>
    <row r="107" spans="1:6" s="1097" customFormat="1" ht="36">
      <c r="A107" s="1146">
        <v>47</v>
      </c>
      <c r="B107" s="3629" t="s">
        <v>1600</v>
      </c>
      <c r="C107" s="1146" t="s">
        <v>1601</v>
      </c>
      <c r="D107" s="1060" t="s">
        <v>1602</v>
      </c>
      <c r="E107" s="1131">
        <v>0.3</v>
      </c>
      <c r="F107" s="1146">
        <v>50</v>
      </c>
    </row>
    <row r="108" spans="1:6" s="1097" customFormat="1" ht="48">
      <c r="A108" s="1146">
        <v>48</v>
      </c>
      <c r="B108" s="3629"/>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48">
      <c r="A110" s="1146">
        <v>50</v>
      </c>
      <c r="B110" s="1146" t="s">
        <v>1608</v>
      </c>
      <c r="C110" s="1146" t="s">
        <v>1609</v>
      </c>
      <c r="D110" s="1060" t="s">
        <v>1610</v>
      </c>
      <c r="E110" s="1131">
        <v>0.2</v>
      </c>
      <c r="F110" s="1146">
        <v>30</v>
      </c>
    </row>
    <row r="111" spans="1:6" s="1097" customFormat="1" ht="48">
      <c r="A111" s="1146">
        <v>51</v>
      </c>
      <c r="B111" s="3629" t="s">
        <v>1611</v>
      </c>
      <c r="C111" s="1146" t="s">
        <v>1612</v>
      </c>
      <c r="D111" s="1060" t="s">
        <v>1613</v>
      </c>
      <c r="E111" s="1131">
        <v>0.2</v>
      </c>
      <c r="F111" s="1146">
        <v>30</v>
      </c>
    </row>
    <row r="112" spans="1:6" s="1097" customFormat="1" ht="36">
      <c r="A112" s="1146">
        <v>52</v>
      </c>
      <c r="B112" s="3629"/>
      <c r="C112" s="1146" t="s">
        <v>1614</v>
      </c>
      <c r="D112" s="1060" t="s">
        <v>1615</v>
      </c>
      <c r="E112" s="1131">
        <v>0.2</v>
      </c>
      <c r="F112" s="1146">
        <v>30</v>
      </c>
    </row>
    <row r="113" spans="1:14" s="1097" customFormat="1" ht="36">
      <c r="A113" s="1146">
        <v>53</v>
      </c>
      <c r="B113" s="3629"/>
      <c r="C113" s="1146" t="s">
        <v>1616</v>
      </c>
      <c r="D113" s="1060" t="s">
        <v>1617</v>
      </c>
      <c r="E113" s="1131">
        <v>0.2</v>
      </c>
      <c r="F113" s="1146">
        <v>30</v>
      </c>
    </row>
    <row r="114" spans="1:14" ht="48">
      <c r="A114" s="1146">
        <v>54</v>
      </c>
      <c r="B114" s="1146" t="s">
        <v>1618</v>
      </c>
      <c r="C114" s="1146" t="s">
        <v>1619</v>
      </c>
      <c r="D114" s="1060" t="s">
        <v>1620</v>
      </c>
      <c r="E114" s="1131">
        <v>0.2</v>
      </c>
      <c r="F114" s="1146">
        <v>30</v>
      </c>
    </row>
    <row r="115" spans="1:14" ht="36">
      <c r="A115" s="1146">
        <v>55</v>
      </c>
      <c r="B115" s="1146" t="s">
        <v>1621</v>
      </c>
      <c r="C115" s="1146" t="s">
        <v>1622</v>
      </c>
      <c r="D115" s="1060" t="s">
        <v>1623</v>
      </c>
      <c r="E115" s="1131">
        <v>0.2</v>
      </c>
      <c r="F115" s="1146">
        <v>30</v>
      </c>
    </row>
    <row r="116" spans="1:14" ht="36">
      <c r="A116" s="1146">
        <v>56</v>
      </c>
      <c r="B116" s="3629" t="s">
        <v>1624</v>
      </c>
      <c r="C116" s="1146" t="s">
        <v>1625</v>
      </c>
      <c r="D116" s="1060" t="s">
        <v>1626</v>
      </c>
      <c r="E116" s="1131">
        <v>0.2</v>
      </c>
      <c r="F116" s="1146">
        <v>30</v>
      </c>
    </row>
    <row r="117" spans="1:14" ht="36">
      <c r="A117" s="1146">
        <v>57</v>
      </c>
      <c r="B117" s="3629"/>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4.4">
      <c r="A119" s="1146"/>
      <c r="B119" s="1146"/>
      <c r="C119" s="1146"/>
      <c r="D119" s="1146"/>
      <c r="E119" s="1131"/>
      <c r="F119" s="1146"/>
    </row>
    <row r="121" spans="1:14" ht="19.5" customHeight="1">
      <c r="A121" s="3628" t="s">
        <v>1633</v>
      </c>
      <c r="B121" s="3628"/>
      <c r="C121" s="3628"/>
      <c r="D121" s="3628"/>
      <c r="E121" s="3628"/>
      <c r="F121" s="3628"/>
      <c r="G121" s="3628"/>
      <c r="H121" s="3628"/>
      <c r="I121" s="3628"/>
      <c r="J121" s="3628"/>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097" customWidth="1"/>
    <col min="2" max="5" width="10.21875" style="1058" customWidth="1"/>
    <col min="6" max="6" width="9" style="1058"/>
    <col min="7" max="7" width="9" style="1061"/>
    <col min="8" max="8" width="9" style="1058"/>
    <col min="9" max="9" width="9" style="1061"/>
    <col min="10" max="16384" width="9" style="1058"/>
  </cols>
  <sheetData>
    <row r="1" spans="1:20">
      <c r="A1" s="3633" t="s">
        <v>1039</v>
      </c>
      <c r="B1" s="3633"/>
      <c r="C1" s="3633"/>
      <c r="D1" s="3633"/>
      <c r="E1" s="3633"/>
      <c r="F1" s="3633"/>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5" thickBot="1">
      <c r="A2" s="3634" t="s">
        <v>1052</v>
      </c>
      <c r="B2" s="3634"/>
      <c r="C2" s="3634"/>
      <c r="D2" s="3634"/>
      <c r="E2" s="3634"/>
      <c r="F2" s="3634"/>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35"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36"/>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904</v>
      </c>
      <c r="B103" s="1006"/>
      <c r="C103" s="1006"/>
      <c r="D103" s="1006"/>
      <c r="E103" s="1006"/>
      <c r="F103" s="1006"/>
      <c r="G103" s="1006"/>
      <c r="H103" s="1006"/>
      <c r="I103" s="1006"/>
      <c r="J103" s="1006"/>
      <c r="K103" s="1006"/>
      <c r="L103" s="1006"/>
      <c r="M103" s="1006"/>
      <c r="N103" s="1006"/>
    </row>
    <row r="104" spans="1:14" ht="15.6">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1.0166999999999999</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0" customWidth="1"/>
    <col min="2" max="2" width="10.21875" style="1861" customWidth="1"/>
  </cols>
  <sheetData>
    <row r="1" spans="1:6">
      <c r="A1" s="3637" t="s">
        <v>2077</v>
      </c>
      <c r="B1" s="3637"/>
    </row>
    <row r="2" spans="1:6" ht="15" thickBot="1">
      <c r="A2" s="1831"/>
      <c r="B2" s="1831"/>
    </row>
    <row r="3" spans="1:6" ht="15" thickBot="1">
      <c r="A3" s="1831"/>
      <c r="B3" s="1831"/>
      <c r="C3" s="1832" t="s">
        <v>2078</v>
      </c>
      <c r="D3" s="1832" t="s">
        <v>2079</v>
      </c>
      <c r="E3" s="1832" t="s">
        <v>2080</v>
      </c>
      <c r="F3" s="1832" t="s">
        <v>2081</v>
      </c>
    </row>
    <row r="4" spans="1:6" ht="15" thickBot="1">
      <c r="A4" s="1833" t="s">
        <v>2082</v>
      </c>
      <c r="B4" s="1834" t="s">
        <v>2083</v>
      </c>
      <c r="C4" s="1832"/>
      <c r="D4" s="1832"/>
      <c r="E4" s="1832"/>
      <c r="F4" s="1832"/>
    </row>
    <row r="5" spans="1:6" ht="15" thickBot="1">
      <c r="A5" s="1835" t="s">
        <v>2084</v>
      </c>
      <c r="B5" s="1836" t="s">
        <v>2085</v>
      </c>
      <c r="C5" s="1837">
        <v>8.8999999999999996E-2</v>
      </c>
      <c r="D5" s="1837">
        <v>7.3999999999999996E-2</v>
      </c>
      <c r="E5" s="1837">
        <v>7.4999999999999997E-2</v>
      </c>
      <c r="F5" s="1838">
        <v>0.1</v>
      </c>
    </row>
    <row r="6" spans="1:6" ht="15" thickBot="1">
      <c r="A6" s="1835" t="s">
        <v>1096</v>
      </c>
      <c r="B6" s="1839" t="s">
        <v>2086</v>
      </c>
      <c r="C6" s="1840">
        <v>0.1</v>
      </c>
      <c r="D6" s="1840">
        <v>9.0999999999999998E-2</v>
      </c>
      <c r="E6" s="1840">
        <v>9.0999999999999998E-2</v>
      </c>
      <c r="F6" s="1841">
        <v>0.1</v>
      </c>
    </row>
    <row r="7" spans="1:6" ht="15" thickBot="1">
      <c r="A7" s="1835" t="s">
        <v>1096</v>
      </c>
      <c r="B7" s="1842" t="s">
        <v>1084</v>
      </c>
      <c r="C7" s="1840">
        <v>8.5999999999999993E-2</v>
      </c>
      <c r="D7" s="1840">
        <v>9.6000000000000002E-2</v>
      </c>
      <c r="E7" s="1840">
        <v>7.5999999999999998E-2</v>
      </c>
      <c r="F7" s="1841">
        <v>0.1</v>
      </c>
    </row>
    <row r="8" spans="1:6" ht="15" thickBot="1">
      <c r="A8" s="1835" t="s">
        <v>1096</v>
      </c>
      <c r="B8" s="1839" t="s">
        <v>1097</v>
      </c>
      <c r="C8" s="1840">
        <v>9.9000000000000005E-2</v>
      </c>
      <c r="D8" s="1840">
        <v>9.8000000000000004E-2</v>
      </c>
      <c r="E8" s="1840">
        <v>9.8000000000000004E-2</v>
      </c>
      <c r="F8" s="1841">
        <v>0.1</v>
      </c>
    </row>
    <row r="9" spans="1:6" ht="15" thickBot="1">
      <c r="A9" s="1843" t="s">
        <v>1096</v>
      </c>
      <c r="B9" s="1844" t="s">
        <v>1111</v>
      </c>
      <c r="C9" s="1845">
        <v>0.05</v>
      </c>
      <c r="D9" s="1846"/>
      <c r="E9" s="1846"/>
      <c r="F9" s="1847"/>
    </row>
    <row r="10" spans="1:6" ht="15" thickBot="1">
      <c r="A10" s="1835" t="s">
        <v>1155</v>
      </c>
      <c r="B10" s="1836" t="s">
        <v>2087</v>
      </c>
      <c r="C10" s="1837">
        <v>8.8999999999999996E-2</v>
      </c>
      <c r="D10" s="1837">
        <v>7.2999999999999995E-2</v>
      </c>
      <c r="E10" s="1837">
        <v>8.2000000000000003E-2</v>
      </c>
      <c r="F10" s="1838">
        <v>0.1</v>
      </c>
    </row>
    <row r="11" spans="1:6" ht="15" thickBot="1">
      <c r="A11" s="1835" t="s">
        <v>1155</v>
      </c>
      <c r="B11" s="1842" t="s">
        <v>1071</v>
      </c>
      <c r="C11" s="1840">
        <v>8.8999999999999996E-2</v>
      </c>
      <c r="D11" s="1840">
        <v>7.2999999999999995E-2</v>
      </c>
      <c r="E11" s="1840">
        <v>8.2000000000000003E-2</v>
      </c>
      <c r="F11" s="1841">
        <v>0.1</v>
      </c>
    </row>
    <row r="12" spans="1:6" ht="15" thickBot="1">
      <c r="A12" s="1835" t="s">
        <v>1155</v>
      </c>
      <c r="B12" s="1842" t="s">
        <v>1085</v>
      </c>
      <c r="C12" s="1840">
        <v>6.0999999999999999E-2</v>
      </c>
      <c r="D12" s="1840">
        <v>7.0999999999999994E-2</v>
      </c>
      <c r="E12" s="1840">
        <v>9.6000000000000002E-2</v>
      </c>
      <c r="F12" s="1841">
        <v>0.1</v>
      </c>
    </row>
    <row r="13" spans="1:6" ht="15" thickBot="1">
      <c r="A13" s="1835" t="s">
        <v>1155</v>
      </c>
      <c r="B13" s="1842" t="s">
        <v>1098</v>
      </c>
      <c r="C13" s="1840">
        <v>6.9000000000000006E-2</v>
      </c>
      <c r="D13" s="1840">
        <v>6.5000000000000002E-2</v>
      </c>
      <c r="E13" s="1840">
        <v>6.6000000000000003E-2</v>
      </c>
      <c r="F13" s="1841">
        <v>0.1</v>
      </c>
    </row>
    <row r="14" spans="1:6" ht="15" thickBot="1">
      <c r="A14" s="1835" t="s">
        <v>1155</v>
      </c>
      <c r="B14" s="1842" t="s">
        <v>1112</v>
      </c>
      <c r="C14" s="1840">
        <v>0.1</v>
      </c>
      <c r="D14" s="1840">
        <v>6.5000000000000002E-2</v>
      </c>
      <c r="E14" s="1840">
        <v>7.0000000000000007E-2</v>
      </c>
      <c r="F14" s="1841">
        <v>0.1</v>
      </c>
    </row>
    <row r="15" spans="1:6" ht="15" thickBot="1">
      <c r="A15" s="1835" t="s">
        <v>1155</v>
      </c>
      <c r="B15" s="1842" t="s">
        <v>1123</v>
      </c>
      <c r="C15" s="1840">
        <v>9.8000000000000004E-2</v>
      </c>
      <c r="D15" s="1840">
        <v>8.8999999999999996E-2</v>
      </c>
      <c r="E15" s="1840">
        <v>8.8999999999999996E-2</v>
      </c>
      <c r="F15" s="1841">
        <v>0.1</v>
      </c>
    </row>
    <row r="16" spans="1:6" ht="15" thickBot="1">
      <c r="A16" s="1835" t="s">
        <v>1155</v>
      </c>
      <c r="B16" s="1842" t="s">
        <v>1134</v>
      </c>
      <c r="C16" s="1840">
        <v>7.0000000000000007E-2</v>
      </c>
      <c r="D16" s="1840">
        <v>9.2999999999999999E-2</v>
      </c>
      <c r="E16" s="1840">
        <v>9.6000000000000002E-2</v>
      </c>
      <c r="F16" s="1841">
        <v>0.1</v>
      </c>
    </row>
    <row r="17" spans="1:6" ht="15" thickBot="1">
      <c r="A17" s="1835" t="s">
        <v>1155</v>
      </c>
      <c r="B17" s="1842" t="s">
        <v>1145</v>
      </c>
      <c r="C17" s="1840">
        <v>9.5000000000000001E-2</v>
      </c>
      <c r="D17" s="1840">
        <v>0.1</v>
      </c>
      <c r="E17" s="1840">
        <v>0.1</v>
      </c>
      <c r="F17" s="1848"/>
    </row>
    <row r="18" spans="1:6" ht="15" thickBot="1">
      <c r="A18" s="1835" t="s">
        <v>1155</v>
      </c>
      <c r="B18" s="1842" t="s">
        <v>1157</v>
      </c>
      <c r="C18" s="1840">
        <v>7.3999999999999996E-2</v>
      </c>
      <c r="D18" s="1840">
        <v>9.9000000000000005E-2</v>
      </c>
      <c r="E18" s="1840">
        <v>0.1</v>
      </c>
      <c r="F18" s="1848"/>
    </row>
    <row r="19" spans="1:6" ht="15" thickBot="1">
      <c r="A19" s="1835" t="s">
        <v>1155</v>
      </c>
      <c r="B19" s="1842" t="s">
        <v>1167</v>
      </c>
      <c r="C19" s="1840">
        <v>9.9000000000000005E-2</v>
      </c>
      <c r="D19" s="1840">
        <v>7.5999999999999998E-2</v>
      </c>
      <c r="E19" s="1840">
        <v>8.6999999999999994E-2</v>
      </c>
      <c r="F19" s="1848"/>
    </row>
    <row r="20" spans="1:6" ht="15" thickBot="1">
      <c r="A20" s="1835" t="s">
        <v>1155</v>
      </c>
      <c r="B20" s="1842" t="s">
        <v>1177</v>
      </c>
      <c r="C20" s="1840">
        <v>9.8000000000000004E-2</v>
      </c>
      <c r="D20" s="1840">
        <v>8.5000000000000006E-2</v>
      </c>
      <c r="E20" s="1840">
        <v>8.2000000000000003E-2</v>
      </c>
      <c r="F20" s="1848"/>
    </row>
    <row r="21" spans="1:6" ht="15" thickBot="1">
      <c r="A21" s="1835" t="s">
        <v>1155</v>
      </c>
      <c r="B21" s="1842" t="s">
        <v>1187</v>
      </c>
      <c r="C21" s="1840">
        <v>6.6000000000000003E-2</v>
      </c>
      <c r="D21" s="1840">
        <v>6.4000000000000001E-2</v>
      </c>
      <c r="E21" s="1840">
        <v>6.5000000000000002E-2</v>
      </c>
      <c r="F21" s="1848"/>
    </row>
    <row r="22" spans="1:6" ht="15" thickBot="1">
      <c r="A22" s="1835" t="s">
        <v>1155</v>
      </c>
      <c r="B22" s="1842" t="s">
        <v>2088</v>
      </c>
      <c r="C22" s="1840">
        <v>0.08</v>
      </c>
      <c r="D22" s="1840">
        <v>9.8000000000000004E-2</v>
      </c>
      <c r="E22" s="1840">
        <v>9.8000000000000004E-2</v>
      </c>
      <c r="F22" s="1848"/>
    </row>
    <row r="23" spans="1:6" ht="15" thickBot="1">
      <c r="A23" s="1835" t="s">
        <v>1155</v>
      </c>
      <c r="B23" s="1842" t="s">
        <v>1207</v>
      </c>
      <c r="C23" s="1840">
        <v>9.9000000000000005E-2</v>
      </c>
      <c r="D23" s="1840">
        <v>9.8000000000000004E-2</v>
      </c>
      <c r="E23" s="1840">
        <v>9.0999999999999998E-2</v>
      </c>
      <c r="F23" s="1848"/>
    </row>
    <row r="24" spans="1:6" ht="15" thickBot="1">
      <c r="A24" s="1835" t="s">
        <v>1155</v>
      </c>
      <c r="B24" s="1842" t="s">
        <v>1217</v>
      </c>
      <c r="C24" s="1840">
        <v>8.8999999999999996E-2</v>
      </c>
      <c r="D24" s="1840">
        <v>9.7000000000000003E-2</v>
      </c>
      <c r="E24" s="1840">
        <v>7.0000000000000007E-2</v>
      </c>
      <c r="F24" s="1848"/>
    </row>
    <row r="25" spans="1:6" ht="15" thickBot="1">
      <c r="A25" s="1835" t="s">
        <v>1155</v>
      </c>
      <c r="B25" s="1842" t="s">
        <v>1227</v>
      </c>
      <c r="C25" s="1840">
        <v>8.8999999999999996E-2</v>
      </c>
      <c r="D25" s="1840">
        <v>0.1</v>
      </c>
      <c r="E25" s="1840">
        <v>8.1000000000000003E-2</v>
      </c>
      <c r="F25" s="1848"/>
    </row>
    <row r="26" spans="1:6" ht="15" thickBot="1">
      <c r="A26" s="1835" t="s">
        <v>1155</v>
      </c>
      <c r="B26" s="1842" t="s">
        <v>1237</v>
      </c>
      <c r="C26" s="1849"/>
      <c r="D26" s="1840">
        <v>9.6000000000000002E-2</v>
      </c>
      <c r="E26" s="1840">
        <v>9.2999999999999999E-2</v>
      </c>
      <c r="F26" s="1848"/>
    </row>
    <row r="27" spans="1:6" ht="15" thickBot="1">
      <c r="A27" s="1835" t="s">
        <v>1155</v>
      </c>
      <c r="B27" s="1842" t="s">
        <v>1247</v>
      </c>
      <c r="C27" s="1849"/>
      <c r="D27" s="1840">
        <v>7.5999999999999998E-2</v>
      </c>
      <c r="E27" s="1840">
        <v>9.1999999999999998E-2</v>
      </c>
      <c r="F27" s="1848"/>
    </row>
    <row r="28" spans="1:6" ht="15" thickBot="1">
      <c r="A28" s="1843" t="s">
        <v>1155</v>
      </c>
      <c r="B28" s="1844" t="s">
        <v>1257</v>
      </c>
      <c r="C28" s="1846"/>
      <c r="D28" s="1845">
        <v>7.5999999999999998E-2</v>
      </c>
      <c r="E28" s="1845">
        <v>9.1999999999999998E-2</v>
      </c>
      <c r="F28" s="1847"/>
    </row>
    <row r="29" spans="1:6" ht="15" thickBot="1">
      <c r="A29" s="1835" t="s">
        <v>1326</v>
      </c>
      <c r="B29" s="1836" t="s">
        <v>2089</v>
      </c>
      <c r="C29" s="1837">
        <v>6.4000000000000001E-2</v>
      </c>
      <c r="D29" s="1837">
        <v>6.5000000000000002E-2</v>
      </c>
      <c r="E29" s="1837">
        <v>6.9000000000000006E-2</v>
      </c>
      <c r="F29" s="1838">
        <v>0.1</v>
      </c>
    </row>
    <row r="30" spans="1:6" ht="15" thickBot="1">
      <c r="A30" s="1835" t="s">
        <v>1326</v>
      </c>
      <c r="B30" s="1842" t="s">
        <v>1072</v>
      </c>
      <c r="C30" s="1840">
        <v>6.4000000000000001E-2</v>
      </c>
      <c r="D30" s="1840">
        <v>9.9000000000000005E-2</v>
      </c>
      <c r="E30" s="1840">
        <v>0.1</v>
      </c>
      <c r="F30" s="1841">
        <v>0.1</v>
      </c>
    </row>
    <row r="31" spans="1:6" ht="15" thickBot="1">
      <c r="A31" s="1835" t="s">
        <v>1326</v>
      </c>
      <c r="B31" s="1842" t="s">
        <v>1086</v>
      </c>
      <c r="C31" s="1840">
        <v>0.1</v>
      </c>
      <c r="D31" s="1840">
        <v>9.5000000000000001E-2</v>
      </c>
      <c r="E31" s="1840">
        <v>8.8999999999999996E-2</v>
      </c>
      <c r="F31" s="1841">
        <v>0.1</v>
      </c>
    </row>
    <row r="32" spans="1:6" ht="15" thickBot="1">
      <c r="A32" s="1835" t="s">
        <v>1326</v>
      </c>
      <c r="B32" s="1842" t="s">
        <v>1099</v>
      </c>
      <c r="C32" s="1840">
        <v>0.05</v>
      </c>
      <c r="D32" s="1840">
        <v>0.05</v>
      </c>
      <c r="E32" s="1840">
        <v>8.7999999999999995E-2</v>
      </c>
      <c r="F32" s="1841">
        <v>0.1</v>
      </c>
    </row>
    <row r="33" spans="1:6" ht="15" thickBot="1">
      <c r="A33" s="1835" t="s">
        <v>1326</v>
      </c>
      <c r="B33" s="1842" t="s">
        <v>1113</v>
      </c>
      <c r="C33" s="1840">
        <v>7.4999999999999997E-2</v>
      </c>
      <c r="D33" s="1840">
        <v>9.4E-2</v>
      </c>
      <c r="E33" s="1840">
        <v>9.7000000000000003E-2</v>
      </c>
      <c r="F33" s="1841">
        <v>0.1</v>
      </c>
    </row>
    <row r="34" spans="1:6" ht="15" thickBot="1">
      <c r="A34" s="1835" t="s">
        <v>1326</v>
      </c>
      <c r="B34" s="1842" t="s">
        <v>1124</v>
      </c>
      <c r="C34" s="1840">
        <v>9.8000000000000004E-2</v>
      </c>
      <c r="D34" s="1840">
        <v>8.5999999999999993E-2</v>
      </c>
      <c r="E34" s="1840">
        <v>9.7000000000000003E-2</v>
      </c>
      <c r="F34" s="1841">
        <v>0.1</v>
      </c>
    </row>
    <row r="35" spans="1:6" ht="15" thickBot="1">
      <c r="A35" s="1835" t="s">
        <v>1326</v>
      </c>
      <c r="B35" s="1842" t="s">
        <v>1135</v>
      </c>
      <c r="C35" s="1840">
        <v>5.8999999999999997E-2</v>
      </c>
      <c r="D35" s="1840">
        <v>6.5000000000000002E-2</v>
      </c>
      <c r="E35" s="1840">
        <v>7.0000000000000007E-2</v>
      </c>
      <c r="F35" s="1841">
        <v>0.1</v>
      </c>
    </row>
    <row r="36" spans="1:6" ht="15" thickBot="1">
      <c r="A36" s="1835" t="s">
        <v>1326</v>
      </c>
      <c r="B36" s="1842" t="s">
        <v>1146</v>
      </c>
      <c r="C36" s="1840">
        <v>6.3E-2</v>
      </c>
      <c r="D36" s="1840">
        <v>0.1</v>
      </c>
      <c r="E36" s="1840">
        <v>0.1</v>
      </c>
      <c r="F36" s="1841">
        <v>0.1</v>
      </c>
    </row>
    <row r="37" spans="1:6" ht="15" thickBot="1">
      <c r="A37" s="1835" t="s">
        <v>1326</v>
      </c>
      <c r="B37" s="1842" t="s">
        <v>1158</v>
      </c>
      <c r="C37" s="1840">
        <v>7.3999999999999996E-2</v>
      </c>
      <c r="D37" s="1840">
        <v>0.1</v>
      </c>
      <c r="E37" s="1840">
        <v>0.1</v>
      </c>
      <c r="F37" s="1841">
        <v>0.1</v>
      </c>
    </row>
    <row r="38" spans="1:6" ht="15" thickBot="1">
      <c r="A38" s="1835" t="s">
        <v>1326</v>
      </c>
      <c r="B38" s="1842" t="s">
        <v>1168</v>
      </c>
      <c r="C38" s="1840">
        <v>0.1</v>
      </c>
      <c r="D38" s="1840">
        <v>9.6000000000000002E-2</v>
      </c>
      <c r="E38" s="1840">
        <v>9.6000000000000002E-2</v>
      </c>
      <c r="F38" s="1848"/>
    </row>
    <row r="39" spans="1:6" ht="15" thickBot="1">
      <c r="A39" s="1835" t="s">
        <v>1326</v>
      </c>
      <c r="B39" s="1842" t="s">
        <v>1178</v>
      </c>
      <c r="C39" s="1840">
        <v>0.1</v>
      </c>
      <c r="D39" s="1840">
        <v>9.6000000000000002E-2</v>
      </c>
      <c r="E39" s="1840">
        <v>9.6000000000000002E-2</v>
      </c>
      <c r="F39" s="1848"/>
    </row>
    <row r="40" spans="1:6" ht="15" thickBot="1">
      <c r="A40" s="1835" t="s">
        <v>1326</v>
      </c>
      <c r="B40" s="1842" t="s">
        <v>1188</v>
      </c>
      <c r="C40" s="1840">
        <v>9.6000000000000002E-2</v>
      </c>
      <c r="D40" s="1840">
        <v>0.1</v>
      </c>
      <c r="E40" s="1840">
        <v>9.9000000000000005E-2</v>
      </c>
      <c r="F40" s="1848"/>
    </row>
    <row r="41" spans="1:6" ht="15" thickBot="1">
      <c r="A41" s="1835" t="s">
        <v>1326</v>
      </c>
      <c r="B41" s="1842" t="s">
        <v>1198</v>
      </c>
      <c r="C41" s="1840">
        <v>9.6000000000000002E-2</v>
      </c>
      <c r="D41" s="1840">
        <v>9.8000000000000004E-2</v>
      </c>
      <c r="E41" s="1840">
        <v>9.8000000000000004E-2</v>
      </c>
      <c r="F41" s="1848"/>
    </row>
    <row r="42" spans="1:6" ht="15" thickBot="1">
      <c r="A42" s="1835" t="s">
        <v>1326</v>
      </c>
      <c r="B42" s="1842" t="s">
        <v>1208</v>
      </c>
      <c r="C42" s="1840">
        <v>0.1</v>
      </c>
      <c r="D42" s="1840">
        <v>8.7999999999999995E-2</v>
      </c>
      <c r="E42" s="1840">
        <v>0.1</v>
      </c>
      <c r="F42" s="1848"/>
    </row>
    <row r="43" spans="1:6" ht="15" thickBot="1">
      <c r="A43" s="1835" t="s">
        <v>1326</v>
      </c>
      <c r="B43" s="1842" t="s">
        <v>1218</v>
      </c>
      <c r="C43" s="1840">
        <v>9.8000000000000004E-2</v>
      </c>
      <c r="D43" s="1840">
        <v>9.7000000000000003E-2</v>
      </c>
      <c r="E43" s="1840">
        <v>9.6000000000000002E-2</v>
      </c>
      <c r="F43" s="1848"/>
    </row>
    <row r="44" spans="1:6" ht="15" thickBot="1">
      <c r="A44" s="1835" t="s">
        <v>1326</v>
      </c>
      <c r="B44" s="1842" t="s">
        <v>1228</v>
      </c>
      <c r="C44" s="1840">
        <v>8.5999999999999993E-2</v>
      </c>
      <c r="D44" s="1840">
        <v>7.9000000000000001E-2</v>
      </c>
      <c r="E44" s="1840">
        <v>7.0999999999999994E-2</v>
      </c>
      <c r="F44" s="1848"/>
    </row>
    <row r="45" spans="1:6" ht="15" thickBot="1">
      <c r="A45" s="1835" t="s">
        <v>1326</v>
      </c>
      <c r="B45" s="1842" t="s">
        <v>1238</v>
      </c>
      <c r="C45" s="1840">
        <v>9.8000000000000004E-2</v>
      </c>
      <c r="D45" s="1840">
        <v>9.6000000000000002E-2</v>
      </c>
      <c r="E45" s="1840">
        <v>9.6000000000000002E-2</v>
      </c>
      <c r="F45" s="1848"/>
    </row>
    <row r="46" spans="1:6" ht="15" thickBot="1">
      <c r="A46" s="1835" t="s">
        <v>1326</v>
      </c>
      <c r="B46" s="1842" t="s">
        <v>1248</v>
      </c>
      <c r="C46" s="1840">
        <v>8.5999999999999993E-2</v>
      </c>
      <c r="D46" s="1840">
        <v>9.8000000000000004E-2</v>
      </c>
      <c r="E46" s="1840">
        <v>8.7999999999999995E-2</v>
      </c>
      <c r="F46" s="1848"/>
    </row>
    <row r="47" spans="1:6" ht="15" thickBot="1">
      <c r="A47" s="1835" t="s">
        <v>1326</v>
      </c>
      <c r="B47" s="1842" t="s">
        <v>1258</v>
      </c>
      <c r="C47" s="1840">
        <v>9.6000000000000002E-2</v>
      </c>
      <c r="D47" s="1849"/>
      <c r="E47" s="1840">
        <v>6.9000000000000006E-2</v>
      </c>
      <c r="F47" s="1848"/>
    </row>
    <row r="48" spans="1:6" ht="15" thickBot="1">
      <c r="A48" s="1843" t="s">
        <v>1326</v>
      </c>
      <c r="B48" s="1844" t="s">
        <v>1267</v>
      </c>
      <c r="C48" s="1845">
        <v>9.8000000000000004E-2</v>
      </c>
      <c r="D48" s="1846"/>
      <c r="E48" s="1845">
        <v>9.5000000000000001E-2</v>
      </c>
      <c r="F48" s="1847"/>
    </row>
    <row r="49" spans="1:6" ht="15" thickBot="1">
      <c r="A49" s="1835" t="s">
        <v>925</v>
      </c>
      <c r="B49" s="1836" t="s">
        <v>2090</v>
      </c>
      <c r="C49" s="1837">
        <v>9.7000000000000003E-2</v>
      </c>
      <c r="D49" s="1837">
        <v>9.5000000000000001E-2</v>
      </c>
      <c r="E49" s="1837">
        <v>9.7000000000000003E-2</v>
      </c>
      <c r="F49" s="1838">
        <v>0.1</v>
      </c>
    </row>
    <row r="50" spans="1:6" ht="15" thickBot="1">
      <c r="A50" s="1835" t="s">
        <v>925</v>
      </c>
      <c r="B50" s="1839" t="s">
        <v>1073</v>
      </c>
      <c r="C50" s="1840">
        <v>7.4999999999999997E-2</v>
      </c>
      <c r="D50" s="1840">
        <v>9.5000000000000001E-2</v>
      </c>
      <c r="E50" s="1840">
        <v>0.1</v>
      </c>
      <c r="F50" s="1841">
        <v>0.1</v>
      </c>
    </row>
    <row r="51" spans="1:6" ht="15" thickBot="1">
      <c r="A51" s="1835" t="s">
        <v>925</v>
      </c>
      <c r="B51" s="1839" t="s">
        <v>1087</v>
      </c>
      <c r="C51" s="1840">
        <v>9.8000000000000004E-2</v>
      </c>
      <c r="D51" s="1840">
        <v>8.8999999999999996E-2</v>
      </c>
      <c r="E51" s="1840">
        <v>0.1</v>
      </c>
      <c r="F51" s="1841">
        <v>0.1</v>
      </c>
    </row>
    <row r="52" spans="1:6" ht="15" thickBot="1">
      <c r="A52" s="1835" t="s">
        <v>925</v>
      </c>
      <c r="B52" s="1839" t="s">
        <v>1100</v>
      </c>
      <c r="C52" s="1840">
        <v>9.8000000000000004E-2</v>
      </c>
      <c r="D52" s="1840">
        <v>9.7000000000000003E-2</v>
      </c>
      <c r="E52" s="1840">
        <v>8.1000000000000003E-2</v>
      </c>
      <c r="F52" s="1841">
        <v>0.1</v>
      </c>
    </row>
    <row r="53" spans="1:6" ht="15" thickBot="1">
      <c r="A53" s="1835" t="s">
        <v>925</v>
      </c>
      <c r="B53" s="1839" t="s">
        <v>1114</v>
      </c>
      <c r="C53" s="1840">
        <v>9.7000000000000003E-2</v>
      </c>
      <c r="D53" s="1840">
        <v>7.5999999999999998E-2</v>
      </c>
      <c r="E53" s="1840">
        <v>7.0999999999999994E-2</v>
      </c>
      <c r="F53" s="1841">
        <v>0.1</v>
      </c>
    </row>
    <row r="54" spans="1:6" ht="15" thickBot="1">
      <c r="A54" s="1835" t="s">
        <v>925</v>
      </c>
      <c r="B54" s="1839" t="s">
        <v>1125</v>
      </c>
      <c r="C54" s="1840">
        <v>7.5999999999999998E-2</v>
      </c>
      <c r="D54" s="1840">
        <v>0.1</v>
      </c>
      <c r="E54" s="1840">
        <v>9.9000000000000005E-2</v>
      </c>
      <c r="F54" s="1841">
        <v>0.1</v>
      </c>
    </row>
    <row r="55" spans="1:6" ht="15" thickBot="1">
      <c r="A55" s="1835" t="s">
        <v>925</v>
      </c>
      <c r="B55" s="1839" t="s">
        <v>1136</v>
      </c>
      <c r="C55" s="1840">
        <v>0.1</v>
      </c>
      <c r="D55" s="1840">
        <v>0.1</v>
      </c>
      <c r="E55" s="1840">
        <v>9.6000000000000002E-2</v>
      </c>
      <c r="F55" s="1841">
        <v>0.1</v>
      </c>
    </row>
    <row r="56" spans="1:6" ht="15" thickBot="1">
      <c r="A56" s="1835" t="s">
        <v>925</v>
      </c>
      <c r="B56" s="1839" t="s">
        <v>1147</v>
      </c>
      <c r="C56" s="1840">
        <v>0.1</v>
      </c>
      <c r="D56" s="1840">
        <v>9.6000000000000002E-2</v>
      </c>
      <c r="E56" s="1840">
        <v>5.1999999999999998E-2</v>
      </c>
      <c r="F56" s="1841">
        <v>0.1</v>
      </c>
    </row>
    <row r="57" spans="1:6" ht="15" thickBot="1">
      <c r="A57" s="1835" t="s">
        <v>925</v>
      </c>
      <c r="B57" s="1839" t="s">
        <v>1159</v>
      </c>
      <c r="C57" s="1840">
        <v>9.7000000000000003E-2</v>
      </c>
      <c r="D57" s="1840">
        <v>9.6000000000000002E-2</v>
      </c>
      <c r="E57" s="1840">
        <v>9.6000000000000002E-2</v>
      </c>
      <c r="F57" s="1841">
        <v>0.1</v>
      </c>
    </row>
    <row r="58" spans="1:6" ht="15" thickBot="1">
      <c r="A58" s="1835" t="s">
        <v>925</v>
      </c>
      <c r="B58" s="1839" t="s">
        <v>1169</v>
      </c>
      <c r="C58" s="1840">
        <v>9.6000000000000002E-2</v>
      </c>
      <c r="D58" s="1840">
        <v>9.9000000000000005E-2</v>
      </c>
      <c r="E58" s="1840">
        <v>9.6000000000000002E-2</v>
      </c>
      <c r="F58" s="1841">
        <v>0.1</v>
      </c>
    </row>
    <row r="59" spans="1:6" ht="15" thickBot="1">
      <c r="A59" s="1835" t="s">
        <v>925</v>
      </c>
      <c r="B59" s="1839" t="s">
        <v>1179</v>
      </c>
      <c r="C59" s="1840">
        <v>7.1999999999999995E-2</v>
      </c>
      <c r="D59" s="1840">
        <v>9.6000000000000002E-2</v>
      </c>
      <c r="E59" s="1840">
        <v>7.0999999999999994E-2</v>
      </c>
      <c r="F59" s="1841">
        <v>0.1</v>
      </c>
    </row>
    <row r="60" spans="1:6" ht="15" thickBot="1">
      <c r="A60" s="1835" t="s">
        <v>925</v>
      </c>
      <c r="B60" s="1839" t="s">
        <v>1189</v>
      </c>
      <c r="C60" s="1840">
        <v>9.6000000000000002E-2</v>
      </c>
      <c r="D60" s="1840">
        <v>8.8999999999999996E-2</v>
      </c>
      <c r="E60" s="1840">
        <v>9.6000000000000002E-2</v>
      </c>
      <c r="F60" s="1841">
        <v>0.1</v>
      </c>
    </row>
    <row r="61" spans="1:6" ht="15" thickBot="1">
      <c r="A61" s="1835" t="s">
        <v>925</v>
      </c>
      <c r="B61" s="1839" t="s">
        <v>1199</v>
      </c>
      <c r="C61" s="1840">
        <v>8.8999999999999996E-2</v>
      </c>
      <c r="D61" s="1840">
        <v>9.8000000000000004E-2</v>
      </c>
      <c r="E61" s="1840">
        <v>8.7999999999999995E-2</v>
      </c>
      <c r="F61" s="1848"/>
    </row>
    <row r="62" spans="1:6" ht="15" thickBot="1">
      <c r="A62" s="1835" t="s">
        <v>925</v>
      </c>
      <c r="B62" s="1839" t="s">
        <v>1209</v>
      </c>
      <c r="C62" s="1840">
        <v>9.8000000000000004E-2</v>
      </c>
      <c r="D62" s="1840">
        <v>9.2999999999999999E-2</v>
      </c>
      <c r="E62" s="1840">
        <v>9.7000000000000003E-2</v>
      </c>
      <c r="F62" s="1848"/>
    </row>
    <row r="63" spans="1:6" ht="15" thickBot="1">
      <c r="A63" s="1835" t="s">
        <v>925</v>
      </c>
      <c r="B63" s="1839" t="s">
        <v>1219</v>
      </c>
      <c r="C63" s="1840">
        <v>9.6000000000000002E-2</v>
      </c>
      <c r="D63" s="1840">
        <v>9.8000000000000004E-2</v>
      </c>
      <c r="E63" s="1840">
        <v>0.09</v>
      </c>
      <c r="F63" s="1848"/>
    </row>
    <row r="64" spans="1:6" ht="15" thickBot="1">
      <c r="A64" s="1835" t="s">
        <v>925</v>
      </c>
      <c r="B64" s="1839" t="s">
        <v>1229</v>
      </c>
      <c r="C64" s="1840">
        <v>9.9000000000000005E-2</v>
      </c>
      <c r="D64" s="1840">
        <v>9.7000000000000003E-2</v>
      </c>
      <c r="E64" s="1840">
        <v>9.9000000000000005E-2</v>
      </c>
      <c r="F64" s="1848"/>
    </row>
    <row r="65" spans="1:6" ht="15" thickBot="1">
      <c r="A65" s="1835" t="s">
        <v>925</v>
      </c>
      <c r="B65" s="1839" t="s">
        <v>1239</v>
      </c>
      <c r="C65" s="1840">
        <v>9.8000000000000004E-2</v>
      </c>
      <c r="D65" s="1840">
        <v>9.6000000000000002E-2</v>
      </c>
      <c r="E65" s="1840">
        <v>9.6000000000000002E-2</v>
      </c>
      <c r="F65" s="1848"/>
    </row>
    <row r="66" spans="1:6" ht="15" thickBot="1">
      <c r="A66" s="1835" t="s">
        <v>925</v>
      </c>
      <c r="B66" s="1839" t="s">
        <v>1249</v>
      </c>
      <c r="C66" s="1840">
        <v>9.6000000000000002E-2</v>
      </c>
      <c r="D66" s="1840">
        <v>9.1999999999999998E-2</v>
      </c>
      <c r="E66" s="1840">
        <v>9.6000000000000002E-2</v>
      </c>
      <c r="F66" s="1848"/>
    </row>
    <row r="67" spans="1:6" ht="15" thickBot="1">
      <c r="A67" s="1835" t="s">
        <v>925</v>
      </c>
      <c r="B67" s="1839" t="s">
        <v>1259</v>
      </c>
      <c r="C67" s="1840">
        <v>9.4E-2</v>
      </c>
      <c r="D67" s="1840">
        <v>0.1</v>
      </c>
      <c r="E67" s="1840">
        <v>8.7999999999999995E-2</v>
      </c>
      <c r="F67" s="1848"/>
    </row>
    <row r="68" spans="1:6" ht="15" thickBot="1">
      <c r="A68" s="1835" t="s">
        <v>925</v>
      </c>
      <c r="B68" s="1839" t="s">
        <v>1268</v>
      </c>
      <c r="C68" s="1840">
        <v>0.1</v>
      </c>
      <c r="D68" s="1840">
        <v>8.7999999999999995E-2</v>
      </c>
      <c r="E68" s="1840">
        <v>9.7000000000000003E-2</v>
      </c>
      <c r="F68" s="1848"/>
    </row>
    <row r="69" spans="1:6" ht="15" thickBot="1">
      <c r="A69" s="1835" t="s">
        <v>925</v>
      </c>
      <c r="B69" s="1839" t="s">
        <v>1277</v>
      </c>
      <c r="C69" s="1840">
        <v>6.4000000000000001E-2</v>
      </c>
      <c r="D69" s="1840">
        <v>0.1</v>
      </c>
      <c r="E69" s="1840">
        <v>0.1</v>
      </c>
      <c r="F69" s="1848"/>
    </row>
    <row r="70" spans="1:6" ht="15" thickBot="1">
      <c r="A70" s="1835" t="s">
        <v>925</v>
      </c>
      <c r="B70" s="1839" t="s">
        <v>1285</v>
      </c>
      <c r="C70" s="1840">
        <v>9.0999999999999998E-2</v>
      </c>
      <c r="D70" s="1849"/>
      <c r="E70" s="1849"/>
      <c r="F70" s="1848"/>
    </row>
    <row r="71" spans="1:6" ht="15" thickBot="1">
      <c r="A71" s="1835" t="s">
        <v>925</v>
      </c>
      <c r="B71" s="1839" t="s">
        <v>1292</v>
      </c>
      <c r="C71" s="1840">
        <v>0.1</v>
      </c>
      <c r="D71" s="1849"/>
      <c r="E71" s="1849"/>
      <c r="F71" s="1848"/>
    </row>
    <row r="72" spans="1:6" ht="24.6" thickBot="1">
      <c r="A72" s="1835" t="s">
        <v>925</v>
      </c>
      <c r="B72" s="1839" t="s">
        <v>2091</v>
      </c>
      <c r="C72" s="1849"/>
      <c r="D72" s="1849"/>
      <c r="E72" s="1849"/>
      <c r="F72" s="1841">
        <v>0.05</v>
      </c>
    </row>
    <row r="73" spans="1:6" ht="24.6" thickBot="1">
      <c r="A73" s="1835" t="s">
        <v>925</v>
      </c>
      <c r="B73" s="1839" t="s">
        <v>2092</v>
      </c>
      <c r="C73" s="1849"/>
      <c r="D73" s="1849"/>
      <c r="E73" s="1849"/>
      <c r="F73" s="1841">
        <v>0.05</v>
      </c>
    </row>
    <row r="74" spans="1:6" ht="24.6" thickBot="1">
      <c r="A74" s="1835" t="s">
        <v>925</v>
      </c>
      <c r="B74" s="1839" t="s">
        <v>2093</v>
      </c>
      <c r="C74" s="1849"/>
      <c r="D74" s="1849"/>
      <c r="E74" s="1849"/>
      <c r="F74" s="1841">
        <v>0.05</v>
      </c>
    </row>
    <row r="75" spans="1:6" ht="24.6" thickBot="1">
      <c r="A75" s="1843" t="s">
        <v>925</v>
      </c>
      <c r="B75" s="1850" t="s">
        <v>2094</v>
      </c>
      <c r="C75" s="1846"/>
      <c r="D75" s="1846"/>
      <c r="E75" s="1846"/>
      <c r="F75" s="1851">
        <v>0.05</v>
      </c>
    </row>
    <row r="76" spans="1:6" ht="15" thickBot="1">
      <c r="A76" s="1835" t="s">
        <v>1407</v>
      </c>
      <c r="B76" s="1836" t="s">
        <v>2095</v>
      </c>
      <c r="C76" s="1837">
        <v>0.1</v>
      </c>
      <c r="D76" s="1837">
        <v>0.1</v>
      </c>
      <c r="E76" s="1837">
        <v>0.1</v>
      </c>
      <c r="F76" s="1838">
        <v>0.1</v>
      </c>
    </row>
    <row r="77" spans="1:6" ht="15" thickBot="1">
      <c r="A77" s="1835" t="s">
        <v>1407</v>
      </c>
      <c r="B77" s="1839" t="s">
        <v>1074</v>
      </c>
      <c r="C77" s="1840">
        <v>8.7999999999999995E-2</v>
      </c>
      <c r="D77" s="1840">
        <v>8.6999999999999994E-2</v>
      </c>
      <c r="E77" s="1840">
        <v>7.9000000000000001E-2</v>
      </c>
      <c r="F77" s="1841">
        <v>0.1</v>
      </c>
    </row>
    <row r="78" spans="1:6" ht="15" thickBot="1">
      <c r="A78" s="1835" t="s">
        <v>1407</v>
      </c>
      <c r="B78" s="1839" t="s">
        <v>1088</v>
      </c>
      <c r="C78" s="1840">
        <v>8.6999999999999994E-2</v>
      </c>
      <c r="D78" s="1840">
        <v>8.4000000000000005E-2</v>
      </c>
      <c r="E78" s="1840">
        <v>9.6000000000000002E-2</v>
      </c>
      <c r="F78" s="1841">
        <v>0.1</v>
      </c>
    </row>
    <row r="79" spans="1:6" ht="15" thickBot="1">
      <c r="A79" s="1835" t="s">
        <v>1407</v>
      </c>
      <c r="B79" s="1839" t="s">
        <v>1101</v>
      </c>
      <c r="C79" s="1840">
        <v>9.8000000000000004E-2</v>
      </c>
      <c r="D79" s="1840">
        <v>9.8000000000000004E-2</v>
      </c>
      <c r="E79" s="1840">
        <v>9.0999999999999998E-2</v>
      </c>
      <c r="F79" s="1841">
        <v>0.1</v>
      </c>
    </row>
    <row r="80" spans="1:6" ht="15" thickBot="1">
      <c r="A80" s="1835" t="s">
        <v>1407</v>
      </c>
      <c r="B80" s="1839" t="s">
        <v>1115</v>
      </c>
      <c r="C80" s="1840">
        <v>9.6000000000000002E-2</v>
      </c>
      <c r="D80" s="1840">
        <v>9.6000000000000002E-2</v>
      </c>
      <c r="E80" s="1840">
        <v>0.1</v>
      </c>
      <c r="F80" s="1841">
        <v>0.1</v>
      </c>
    </row>
    <row r="81" spans="1:6" ht="15" thickBot="1">
      <c r="A81" s="1835" t="s">
        <v>1407</v>
      </c>
      <c r="B81" s="1839" t="s">
        <v>1126</v>
      </c>
      <c r="C81" s="1840">
        <v>9.9000000000000005E-2</v>
      </c>
      <c r="D81" s="1840">
        <v>9.9000000000000005E-2</v>
      </c>
      <c r="E81" s="1840">
        <v>9.8000000000000004E-2</v>
      </c>
      <c r="F81" s="1841">
        <v>0.1</v>
      </c>
    </row>
    <row r="82" spans="1:6" ht="15" thickBot="1">
      <c r="A82" s="1835" t="s">
        <v>1407</v>
      </c>
      <c r="B82" s="1839" t="s">
        <v>1137</v>
      </c>
      <c r="C82" s="1840">
        <v>9.9000000000000005E-2</v>
      </c>
      <c r="D82" s="1840">
        <v>9.9000000000000005E-2</v>
      </c>
      <c r="E82" s="1840">
        <v>9.7000000000000003E-2</v>
      </c>
      <c r="F82" s="1841">
        <v>0.1</v>
      </c>
    </row>
    <row r="83" spans="1:6" ht="15" thickBot="1">
      <c r="A83" s="1835" t="s">
        <v>1407</v>
      </c>
      <c r="B83" s="1839" t="s">
        <v>1148</v>
      </c>
      <c r="C83" s="1840">
        <v>9.8000000000000004E-2</v>
      </c>
      <c r="D83" s="1840">
        <v>9.8000000000000004E-2</v>
      </c>
      <c r="E83" s="1840">
        <v>9.8000000000000004E-2</v>
      </c>
      <c r="F83" s="1841">
        <v>0.1</v>
      </c>
    </row>
    <row r="84" spans="1:6" ht="15" thickBot="1">
      <c r="A84" s="1835" t="s">
        <v>1407</v>
      </c>
      <c r="B84" s="1839" t="s">
        <v>1160</v>
      </c>
      <c r="C84" s="1840">
        <v>9.9000000000000005E-2</v>
      </c>
      <c r="D84" s="1840">
        <v>9.9000000000000005E-2</v>
      </c>
      <c r="E84" s="1840">
        <v>9.9000000000000005E-2</v>
      </c>
      <c r="F84" s="1841">
        <v>0.1</v>
      </c>
    </row>
    <row r="85" spans="1:6" ht="15" thickBot="1">
      <c r="A85" s="1835" t="s">
        <v>1407</v>
      </c>
      <c r="B85" s="1839" t="s">
        <v>1170</v>
      </c>
      <c r="C85" s="1840">
        <v>9.9000000000000005E-2</v>
      </c>
      <c r="D85" s="1840">
        <v>9.9000000000000005E-2</v>
      </c>
      <c r="E85" s="1840">
        <v>9.9000000000000005E-2</v>
      </c>
      <c r="F85" s="1841">
        <v>0.1</v>
      </c>
    </row>
    <row r="86" spans="1:6" ht="15" thickBot="1">
      <c r="A86" s="1835" t="s">
        <v>1407</v>
      </c>
      <c r="B86" s="1839" t="s">
        <v>1180</v>
      </c>
      <c r="C86" s="1840">
        <v>0.1</v>
      </c>
      <c r="D86" s="1840">
        <v>0.1</v>
      </c>
      <c r="E86" s="1840">
        <v>7.6999999999999999E-2</v>
      </c>
      <c r="F86" s="1841">
        <v>0.1</v>
      </c>
    </row>
    <row r="87" spans="1:6" ht="15" thickBot="1">
      <c r="A87" s="1835" t="s">
        <v>1407</v>
      </c>
      <c r="B87" s="1839" t="s">
        <v>1190</v>
      </c>
      <c r="C87" s="1840">
        <v>0.1</v>
      </c>
      <c r="D87" s="1840">
        <v>0.1</v>
      </c>
      <c r="E87" s="1840">
        <v>9.8000000000000004E-2</v>
      </c>
      <c r="F87" s="1848"/>
    </row>
    <row r="88" spans="1:6" ht="15" thickBot="1">
      <c r="A88" s="1835" t="s">
        <v>1407</v>
      </c>
      <c r="B88" s="1839" t="s">
        <v>1200</v>
      </c>
      <c r="C88" s="1840">
        <v>9.1999999999999998E-2</v>
      </c>
      <c r="D88" s="1840">
        <v>8.5000000000000006E-2</v>
      </c>
      <c r="E88" s="1840">
        <v>9.6000000000000002E-2</v>
      </c>
      <c r="F88" s="1848"/>
    </row>
    <row r="89" spans="1:6" ht="15" thickBot="1">
      <c r="A89" s="1835" t="s">
        <v>1407</v>
      </c>
      <c r="B89" s="1839" t="s">
        <v>1210</v>
      </c>
      <c r="C89" s="1840">
        <v>0.1</v>
      </c>
      <c r="D89" s="1840">
        <v>0.1</v>
      </c>
      <c r="E89" s="1840">
        <v>9.7000000000000003E-2</v>
      </c>
      <c r="F89" s="1848"/>
    </row>
    <row r="90" spans="1:6" ht="15" thickBot="1">
      <c r="A90" s="1835" t="s">
        <v>1407</v>
      </c>
      <c r="B90" s="1839" t="s">
        <v>1220</v>
      </c>
      <c r="C90" s="1840">
        <v>9.8000000000000004E-2</v>
      </c>
      <c r="D90" s="1840">
        <v>9.8000000000000004E-2</v>
      </c>
      <c r="E90" s="1840">
        <v>8.7999999999999995E-2</v>
      </c>
      <c r="F90" s="1848"/>
    </row>
    <row r="91" spans="1:6" ht="15" thickBot="1">
      <c r="A91" s="1835" t="s">
        <v>1407</v>
      </c>
      <c r="B91" s="1839" t="s">
        <v>1230</v>
      </c>
      <c r="C91" s="1840">
        <v>9.9000000000000005E-2</v>
      </c>
      <c r="D91" s="1840">
        <v>9.9000000000000005E-2</v>
      </c>
      <c r="E91" s="1840">
        <v>9.0999999999999998E-2</v>
      </c>
      <c r="F91" s="1848"/>
    </row>
    <row r="92" spans="1:6" ht="15" thickBot="1">
      <c r="A92" s="1835" t="s">
        <v>1407</v>
      </c>
      <c r="B92" s="1839" t="s">
        <v>1240</v>
      </c>
      <c r="C92" s="1840">
        <v>9.6000000000000002E-2</v>
      </c>
      <c r="D92" s="1840">
        <v>9.6000000000000002E-2</v>
      </c>
      <c r="E92" s="1840">
        <v>7.2999999999999995E-2</v>
      </c>
      <c r="F92" s="1848"/>
    </row>
    <row r="93" spans="1:6" ht="15" thickBot="1">
      <c r="A93" s="1835" t="s">
        <v>1407</v>
      </c>
      <c r="B93" s="1839" t="s">
        <v>1250</v>
      </c>
      <c r="C93" s="1840">
        <v>9.6000000000000002E-2</v>
      </c>
      <c r="D93" s="1840">
        <v>9.6000000000000002E-2</v>
      </c>
      <c r="E93" s="1840">
        <v>9.9000000000000005E-2</v>
      </c>
      <c r="F93" s="1848"/>
    </row>
    <row r="94" spans="1:6" ht="15" thickBot="1">
      <c r="A94" s="1835" t="s">
        <v>1407</v>
      </c>
      <c r="B94" s="1839" t="s">
        <v>1260</v>
      </c>
      <c r="C94" s="1840">
        <v>7.5999999999999998E-2</v>
      </c>
      <c r="D94" s="1840">
        <v>7.3999999999999996E-2</v>
      </c>
      <c r="E94" s="1840">
        <v>9.7000000000000003E-2</v>
      </c>
      <c r="F94" s="1848"/>
    </row>
    <row r="95" spans="1:6" ht="15" thickBot="1">
      <c r="A95" s="1835" t="s">
        <v>1407</v>
      </c>
      <c r="B95" s="1839" t="s">
        <v>1269</v>
      </c>
      <c r="C95" s="1840">
        <v>9.9000000000000005E-2</v>
      </c>
      <c r="D95" s="1840">
        <v>9.4E-2</v>
      </c>
      <c r="E95" s="1840">
        <v>9.6000000000000002E-2</v>
      </c>
      <c r="F95" s="1848"/>
    </row>
    <row r="96" spans="1:6" ht="15" thickBot="1">
      <c r="A96" s="1835" t="s">
        <v>1407</v>
      </c>
      <c r="B96" s="1839" t="s">
        <v>1278</v>
      </c>
      <c r="C96" s="1840">
        <v>9.9000000000000005E-2</v>
      </c>
      <c r="D96" s="1840">
        <v>9.9000000000000005E-2</v>
      </c>
      <c r="E96" s="1840">
        <v>9.9000000000000005E-2</v>
      </c>
      <c r="F96" s="1848"/>
    </row>
    <row r="97" spans="1:6" ht="15" thickBot="1">
      <c r="A97" s="1835" t="s">
        <v>1407</v>
      </c>
      <c r="B97" s="1839" t="s">
        <v>1286</v>
      </c>
      <c r="C97" s="1840">
        <v>9.8000000000000004E-2</v>
      </c>
      <c r="D97" s="1840">
        <v>9.8000000000000004E-2</v>
      </c>
      <c r="E97" s="1840">
        <v>9.7000000000000003E-2</v>
      </c>
      <c r="F97" s="1848"/>
    </row>
    <row r="98" spans="1:6" ht="15" thickBot="1">
      <c r="A98" s="1835" t="s">
        <v>1407</v>
      </c>
      <c r="B98" s="1839" t="s">
        <v>1293</v>
      </c>
      <c r="C98" s="1840">
        <v>0.1</v>
      </c>
      <c r="D98" s="1840">
        <v>0.1</v>
      </c>
      <c r="E98" s="1840">
        <v>9.7000000000000003E-2</v>
      </c>
      <c r="F98" s="1848"/>
    </row>
    <row r="99" spans="1:6" ht="15" thickBot="1">
      <c r="A99" s="1835" t="s">
        <v>1407</v>
      </c>
      <c r="B99" s="1839" t="s">
        <v>1300</v>
      </c>
      <c r="C99" s="1840">
        <v>0.1</v>
      </c>
      <c r="D99" s="1840">
        <v>0.1</v>
      </c>
      <c r="E99" s="1849"/>
      <c r="F99" s="1848"/>
    </row>
    <row r="100" spans="1:6" ht="15" thickBot="1">
      <c r="A100" s="1835" t="s">
        <v>1407</v>
      </c>
      <c r="B100" s="1839" t="s">
        <v>1307</v>
      </c>
      <c r="C100" s="1840">
        <v>0.09</v>
      </c>
      <c r="D100" s="1840">
        <v>8.8999999999999996E-2</v>
      </c>
      <c r="E100" s="1849"/>
      <c r="F100" s="1848"/>
    </row>
    <row r="101" spans="1:6" ht="15" thickBot="1">
      <c r="A101" s="1835" t="s">
        <v>1407</v>
      </c>
      <c r="B101" s="1839" t="s">
        <v>1314</v>
      </c>
      <c r="C101" s="1840">
        <v>9.8000000000000004E-2</v>
      </c>
      <c r="D101" s="1840">
        <v>9.7000000000000003E-2</v>
      </c>
      <c r="E101" s="1849"/>
      <c r="F101" s="1848"/>
    </row>
    <row r="102" spans="1:6" ht="24.6" thickBot="1">
      <c r="A102" s="1835" t="s">
        <v>1407</v>
      </c>
      <c r="B102" s="1839" t="s">
        <v>2096</v>
      </c>
      <c r="C102" s="1849"/>
      <c r="D102" s="1849"/>
      <c r="E102" s="1849"/>
      <c r="F102" s="1841">
        <v>0.05</v>
      </c>
    </row>
    <row r="103" spans="1:6" ht="24.6" thickBot="1">
      <c r="A103" s="1835" t="s">
        <v>1407</v>
      </c>
      <c r="B103" s="1839" t="s">
        <v>2097</v>
      </c>
      <c r="C103" s="1849"/>
      <c r="D103" s="1849"/>
      <c r="E103" s="1849"/>
      <c r="F103" s="1841">
        <v>0.05</v>
      </c>
    </row>
    <row r="104" spans="1:6" ht="15" thickBot="1">
      <c r="A104" s="1835" t="s">
        <v>1407</v>
      </c>
      <c r="B104" s="1839" t="s">
        <v>2098</v>
      </c>
      <c r="C104" s="1849"/>
      <c r="D104" s="1849"/>
      <c r="E104" s="1849"/>
      <c r="F104" s="1841">
        <v>0.05</v>
      </c>
    </row>
    <row r="105" spans="1:6" ht="24.6" thickBot="1">
      <c r="A105" s="1835" t="s">
        <v>1407</v>
      </c>
      <c r="B105" s="1839" t="s">
        <v>2099</v>
      </c>
      <c r="C105" s="1849"/>
      <c r="D105" s="1849"/>
      <c r="E105" s="1849"/>
      <c r="F105" s="1841">
        <v>0.05</v>
      </c>
    </row>
    <row r="106" spans="1:6" ht="24.6" thickBot="1">
      <c r="A106" s="1835" t="s">
        <v>1407</v>
      </c>
      <c r="B106" s="1839" t="s">
        <v>2100</v>
      </c>
      <c r="C106" s="1849"/>
      <c r="D106" s="1849"/>
      <c r="E106" s="1849"/>
      <c r="F106" s="1841">
        <v>0.05</v>
      </c>
    </row>
    <row r="107" spans="1:6" ht="24.6" thickBot="1">
      <c r="A107" s="1835" t="s">
        <v>1407</v>
      </c>
      <c r="B107" s="1839" t="s">
        <v>2101</v>
      </c>
      <c r="C107" s="1849"/>
      <c r="D107" s="1849"/>
      <c r="E107" s="1849"/>
      <c r="F107" s="1841">
        <v>0.05</v>
      </c>
    </row>
    <row r="108" spans="1:6" ht="24.6" thickBot="1">
      <c r="A108" s="1835" t="s">
        <v>1407</v>
      </c>
      <c r="B108" s="1839" t="s">
        <v>2102</v>
      </c>
      <c r="C108" s="1849"/>
      <c r="D108" s="1849"/>
      <c r="E108" s="1849"/>
      <c r="F108" s="1841">
        <v>0.05</v>
      </c>
    </row>
    <row r="109" spans="1:6" ht="24.6" thickBot="1">
      <c r="A109" s="1843" t="s">
        <v>1407</v>
      </c>
      <c r="B109" s="1850" t="s">
        <v>2103</v>
      </c>
      <c r="C109" s="1846"/>
      <c r="D109" s="1846"/>
      <c r="E109" s="1846"/>
      <c r="F109" s="1851">
        <v>0.05</v>
      </c>
    </row>
    <row r="110" spans="1:6" ht="15" thickBot="1">
      <c r="A110" s="1835" t="s">
        <v>1409</v>
      </c>
      <c r="B110" s="1836" t="s">
        <v>2104</v>
      </c>
      <c r="C110" s="1837">
        <v>0.129</v>
      </c>
      <c r="D110" s="1837">
        <v>0.129</v>
      </c>
      <c r="E110" s="1837">
        <v>0.126</v>
      </c>
      <c r="F110" s="1838">
        <v>0.13</v>
      </c>
    </row>
    <row r="111" spans="1:6" ht="15" thickBot="1">
      <c r="A111" s="1835" t="s">
        <v>1409</v>
      </c>
      <c r="B111" s="1839" t="s">
        <v>1075</v>
      </c>
      <c r="C111" s="1840">
        <v>0.11</v>
      </c>
      <c r="D111" s="1840">
        <v>0.11</v>
      </c>
      <c r="E111" s="1840">
        <v>9.9000000000000005E-2</v>
      </c>
      <c r="F111" s="1841">
        <v>0.128</v>
      </c>
    </row>
    <row r="112" spans="1:6" ht="15" thickBot="1">
      <c r="A112" s="1835" t="s">
        <v>1409</v>
      </c>
      <c r="B112" s="1839" t="s">
        <v>1089</v>
      </c>
      <c r="C112" s="1840">
        <v>0.125</v>
      </c>
      <c r="D112" s="1840">
        <v>0.125</v>
      </c>
      <c r="E112" s="1840">
        <v>0.12</v>
      </c>
      <c r="F112" s="1841">
        <v>0.125</v>
      </c>
    </row>
    <row r="113" spans="1:6" ht="15" thickBot="1">
      <c r="A113" s="1835" t="s">
        <v>1409</v>
      </c>
      <c r="B113" s="1839" t="s">
        <v>1102</v>
      </c>
      <c r="C113" s="1840">
        <v>0.13</v>
      </c>
      <c r="D113" s="1840">
        <v>0.13</v>
      </c>
      <c r="E113" s="1840">
        <v>0.13</v>
      </c>
      <c r="F113" s="1841">
        <v>0.13</v>
      </c>
    </row>
    <row r="114" spans="1:6" ht="15" thickBot="1">
      <c r="A114" s="1835" t="s">
        <v>1409</v>
      </c>
      <c r="B114" s="1839" t="s">
        <v>1116</v>
      </c>
      <c r="C114" s="1840">
        <v>0.123</v>
      </c>
      <c r="D114" s="1840">
        <v>0.123</v>
      </c>
      <c r="E114" s="1840">
        <v>0.12</v>
      </c>
      <c r="F114" s="1841">
        <v>0.13</v>
      </c>
    </row>
    <row r="115" spans="1:6" ht="15" thickBot="1">
      <c r="A115" s="1835" t="s">
        <v>1409</v>
      </c>
      <c r="B115" s="1839" t="s">
        <v>1127</v>
      </c>
      <c r="C115" s="1840">
        <v>0.125</v>
      </c>
      <c r="D115" s="1840">
        <v>0.125</v>
      </c>
      <c r="E115" s="1840">
        <v>0.11700000000000001</v>
      </c>
      <c r="F115" s="1841">
        <v>0.13</v>
      </c>
    </row>
    <row r="116" spans="1:6" ht="15" thickBot="1">
      <c r="A116" s="1835" t="s">
        <v>1409</v>
      </c>
      <c r="B116" s="1839" t="s">
        <v>1138</v>
      </c>
      <c r="C116" s="1840">
        <v>0.11700000000000001</v>
      </c>
      <c r="D116" s="1840">
        <v>0.11700000000000001</v>
      </c>
      <c r="E116" s="1840">
        <v>8.7999999999999995E-2</v>
      </c>
      <c r="F116" s="1841">
        <v>0.13</v>
      </c>
    </row>
    <row r="117" spans="1:6" ht="15" thickBot="1">
      <c r="A117" s="1835" t="s">
        <v>1409</v>
      </c>
      <c r="B117" s="1839" t="s">
        <v>1149</v>
      </c>
      <c r="C117" s="1840">
        <v>0.13</v>
      </c>
      <c r="D117" s="1840">
        <v>0.13</v>
      </c>
      <c r="E117" s="1840">
        <v>0.129</v>
      </c>
      <c r="F117" s="1841">
        <v>0.13</v>
      </c>
    </row>
    <row r="118" spans="1:6" ht="15" thickBot="1">
      <c r="A118" s="1835" t="s">
        <v>1409</v>
      </c>
      <c r="B118" s="1839" t="s">
        <v>1161</v>
      </c>
      <c r="C118" s="1840">
        <v>0.123</v>
      </c>
      <c r="D118" s="1840">
        <v>0.123</v>
      </c>
      <c r="E118" s="1840">
        <v>0.11600000000000001</v>
      </c>
      <c r="F118" s="1841">
        <v>0.13</v>
      </c>
    </row>
    <row r="119" spans="1:6" ht="15" thickBot="1">
      <c r="A119" s="1835" t="s">
        <v>1409</v>
      </c>
      <c r="B119" s="1839" t="s">
        <v>1171</v>
      </c>
      <c r="C119" s="1840">
        <v>0.127</v>
      </c>
      <c r="D119" s="1840">
        <v>0.127</v>
      </c>
      <c r="E119" s="1840">
        <v>0.124</v>
      </c>
      <c r="F119" s="1841">
        <v>0.13</v>
      </c>
    </row>
    <row r="120" spans="1:6" ht="15" thickBot="1">
      <c r="A120" s="1835" t="s">
        <v>1409</v>
      </c>
      <c r="B120" s="1839" t="s">
        <v>1181</v>
      </c>
      <c r="C120" s="1840">
        <v>0.125</v>
      </c>
      <c r="D120" s="1840">
        <v>0.125</v>
      </c>
      <c r="E120" s="1840">
        <v>0.122</v>
      </c>
      <c r="F120" s="1841">
        <v>0.13</v>
      </c>
    </row>
    <row r="121" spans="1:6" ht="15" thickBot="1">
      <c r="A121" s="1835" t="s">
        <v>1409</v>
      </c>
      <c r="B121" s="1839" t="s">
        <v>1191</v>
      </c>
      <c r="C121" s="1840">
        <v>0.13</v>
      </c>
      <c r="D121" s="1840">
        <v>0.13</v>
      </c>
      <c r="E121" s="1840">
        <v>0.13</v>
      </c>
      <c r="F121" s="1841">
        <v>0.13</v>
      </c>
    </row>
    <row r="122" spans="1:6" ht="15" thickBot="1">
      <c r="A122" s="1835" t="s">
        <v>1409</v>
      </c>
      <c r="B122" s="1839" t="s">
        <v>1201</v>
      </c>
      <c r="C122" s="1840">
        <v>0.13</v>
      </c>
      <c r="D122" s="1840">
        <v>0.13</v>
      </c>
      <c r="E122" s="1840">
        <v>0.125</v>
      </c>
      <c r="F122" s="1841">
        <v>0.13</v>
      </c>
    </row>
    <row r="123" spans="1:6" ht="15" thickBot="1">
      <c r="A123" s="1835" t="s">
        <v>1409</v>
      </c>
      <c r="B123" s="1839" t="s">
        <v>1211</v>
      </c>
      <c r="C123" s="1840">
        <v>0.129</v>
      </c>
      <c r="D123" s="1840">
        <v>0.129</v>
      </c>
      <c r="E123" s="1840">
        <v>0.123</v>
      </c>
      <c r="F123" s="1841">
        <v>0.13</v>
      </c>
    </row>
    <row r="124" spans="1:6" ht="15" thickBot="1">
      <c r="A124" s="1835" t="s">
        <v>1409</v>
      </c>
      <c r="B124" s="1839" t="s">
        <v>1221</v>
      </c>
      <c r="C124" s="1840">
        <v>0.10199999999999999</v>
      </c>
      <c r="D124" s="1840">
        <v>0.10100000000000001</v>
      </c>
      <c r="E124" s="1840">
        <v>0.08</v>
      </c>
      <c r="F124" s="1848"/>
    </row>
    <row r="125" spans="1:6" ht="15" thickBot="1">
      <c r="A125" s="1835" t="s">
        <v>1409</v>
      </c>
      <c r="B125" s="1839" t="s">
        <v>1231</v>
      </c>
      <c r="C125" s="1840">
        <v>0.13</v>
      </c>
      <c r="D125" s="1840">
        <v>0.13</v>
      </c>
      <c r="E125" s="1840">
        <v>0.129</v>
      </c>
      <c r="F125" s="1848"/>
    </row>
    <row r="126" spans="1:6" ht="15" thickBot="1">
      <c r="A126" s="1835" t="s">
        <v>1409</v>
      </c>
      <c r="B126" s="1839" t="s">
        <v>1241</v>
      </c>
      <c r="C126" s="1840">
        <v>0.13</v>
      </c>
      <c r="D126" s="1840">
        <v>0.13</v>
      </c>
      <c r="E126" s="1840">
        <v>0.126</v>
      </c>
      <c r="F126" s="1848"/>
    </row>
    <row r="127" spans="1:6" ht="15" thickBot="1">
      <c r="A127" s="1835" t="s">
        <v>1409</v>
      </c>
      <c r="B127" s="1839" t="s">
        <v>1251</v>
      </c>
      <c r="C127" s="1840">
        <v>0.125</v>
      </c>
      <c r="D127" s="1840">
        <v>0.125</v>
      </c>
      <c r="E127" s="1840">
        <v>0.121</v>
      </c>
      <c r="F127" s="1848"/>
    </row>
    <row r="128" spans="1:6" ht="15" thickBot="1">
      <c r="A128" s="1835" t="s">
        <v>1409</v>
      </c>
      <c r="B128" s="1839" t="s">
        <v>1261</v>
      </c>
      <c r="C128" s="1840">
        <v>0.12</v>
      </c>
      <c r="D128" s="1840">
        <v>0.12</v>
      </c>
      <c r="E128" s="1840">
        <v>0.105</v>
      </c>
      <c r="F128" s="1848"/>
    </row>
    <row r="129" spans="1:6" ht="15" thickBot="1">
      <c r="A129" s="1835" t="s">
        <v>1409</v>
      </c>
      <c r="B129" s="1839" t="s">
        <v>1270</v>
      </c>
      <c r="C129" s="1840">
        <v>0.13</v>
      </c>
      <c r="D129" s="1840">
        <v>0.13</v>
      </c>
      <c r="E129" s="1840">
        <v>0.126</v>
      </c>
      <c r="F129" s="1848"/>
    </row>
    <row r="130" spans="1:6" ht="15" thickBot="1">
      <c r="A130" s="1835" t="s">
        <v>1409</v>
      </c>
      <c r="B130" s="1839" t="s">
        <v>1279</v>
      </c>
      <c r="C130" s="1840">
        <v>0.125</v>
      </c>
      <c r="D130" s="1840">
        <v>0.125</v>
      </c>
      <c r="E130" s="1840">
        <v>0.122</v>
      </c>
      <c r="F130" s="1848"/>
    </row>
    <row r="131" spans="1:6" ht="15" thickBot="1">
      <c r="A131" s="1835" t="s">
        <v>1409</v>
      </c>
      <c r="B131" s="1839" t="s">
        <v>1287</v>
      </c>
      <c r="C131" s="1840">
        <v>0.127</v>
      </c>
      <c r="D131" s="1840">
        <v>0.126</v>
      </c>
      <c r="E131" s="1840">
        <v>0.123</v>
      </c>
      <c r="F131" s="1848"/>
    </row>
    <row r="132" spans="1:6" ht="15" thickBot="1">
      <c r="A132" s="1835" t="s">
        <v>1409</v>
      </c>
      <c r="B132" s="1839" t="s">
        <v>1294</v>
      </c>
      <c r="C132" s="1840">
        <v>9.0999999999999998E-2</v>
      </c>
      <c r="D132" s="1840">
        <v>0.121</v>
      </c>
      <c r="E132" s="1840">
        <v>9.9000000000000005E-2</v>
      </c>
      <c r="F132" s="1848"/>
    </row>
    <row r="133" spans="1:6" ht="15" thickBot="1">
      <c r="A133" s="1835" t="s">
        <v>1409</v>
      </c>
      <c r="B133" s="1839" t="s">
        <v>1301</v>
      </c>
      <c r="C133" s="1840">
        <v>0.13</v>
      </c>
      <c r="D133" s="1840">
        <v>0.13</v>
      </c>
      <c r="E133" s="1840">
        <v>0.129</v>
      </c>
      <c r="F133" s="1848"/>
    </row>
    <row r="134" spans="1:6" ht="15" thickBot="1">
      <c r="A134" s="1835" t="s">
        <v>1409</v>
      </c>
      <c r="B134" s="1839" t="s">
        <v>2105</v>
      </c>
      <c r="C134" s="1840">
        <v>6.8000000000000005E-2</v>
      </c>
      <c r="D134" s="1840">
        <v>6.5000000000000002E-2</v>
      </c>
      <c r="E134" s="1840">
        <v>6.5000000000000002E-2</v>
      </c>
      <c r="F134" s="1841">
        <v>0.13</v>
      </c>
    </row>
    <row r="135" spans="1:6" ht="15" thickBot="1">
      <c r="A135" s="1835" t="s">
        <v>1409</v>
      </c>
      <c r="B135" s="1839" t="s">
        <v>1315</v>
      </c>
      <c r="C135" s="1840">
        <v>0.123</v>
      </c>
      <c r="D135" s="1840">
        <v>0.123</v>
      </c>
      <c r="E135" s="1840">
        <v>0.11</v>
      </c>
      <c r="F135" s="1848"/>
    </row>
    <row r="136" spans="1:6" ht="15" thickBot="1">
      <c r="A136" s="1835" t="s">
        <v>1409</v>
      </c>
      <c r="B136" s="1839" t="s">
        <v>1322</v>
      </c>
      <c r="C136" s="1840">
        <v>0.13</v>
      </c>
      <c r="D136" s="1840">
        <v>0.13</v>
      </c>
      <c r="E136" s="1840">
        <v>0.125</v>
      </c>
      <c r="F136" s="1848"/>
    </row>
    <row r="137" spans="1:6" ht="15" thickBot="1">
      <c r="A137" s="1835" t="s">
        <v>1409</v>
      </c>
      <c r="B137" s="1839" t="s">
        <v>1329</v>
      </c>
      <c r="C137" s="1840">
        <v>0.121</v>
      </c>
      <c r="D137" s="1840">
        <v>0.122</v>
      </c>
      <c r="E137" s="1840">
        <v>0.115</v>
      </c>
      <c r="F137" s="1848"/>
    </row>
    <row r="138" spans="1:6" ht="15" thickBot="1">
      <c r="A138" s="1835" t="s">
        <v>1409</v>
      </c>
      <c r="B138" s="1839" t="s">
        <v>2106</v>
      </c>
      <c r="C138" s="1840">
        <v>0.105</v>
      </c>
      <c r="D138" s="1840">
        <v>0.125</v>
      </c>
      <c r="E138" s="1840">
        <v>0.112</v>
      </c>
      <c r="F138" s="1848"/>
    </row>
    <row r="139" spans="1:6" ht="15" thickBot="1">
      <c r="A139" s="1835" t="s">
        <v>1409</v>
      </c>
      <c r="B139" s="1839" t="s">
        <v>2107</v>
      </c>
      <c r="C139" s="1840">
        <v>0.127</v>
      </c>
      <c r="D139" s="1840">
        <v>0.127</v>
      </c>
      <c r="E139" s="1840">
        <v>0.122</v>
      </c>
      <c r="F139" s="1841">
        <v>0.13</v>
      </c>
    </row>
    <row r="140" spans="1:6" ht="15" thickBot="1">
      <c r="A140" s="1835" t="s">
        <v>1409</v>
      </c>
      <c r="B140" s="1839" t="s">
        <v>2108</v>
      </c>
      <c r="C140" s="1840">
        <v>0.125</v>
      </c>
      <c r="D140" s="1840">
        <v>0.125</v>
      </c>
      <c r="E140" s="1840">
        <v>0.11899999999999999</v>
      </c>
      <c r="F140" s="1841">
        <v>0.13</v>
      </c>
    </row>
    <row r="141" spans="1:6" ht="15" thickBot="1">
      <c r="A141" s="1835" t="s">
        <v>1409</v>
      </c>
      <c r="B141" s="1839" t="s">
        <v>1348</v>
      </c>
      <c r="C141" s="1840">
        <v>0.125</v>
      </c>
      <c r="D141" s="1840">
        <v>0.125</v>
      </c>
      <c r="E141" s="1840">
        <v>0.11700000000000001</v>
      </c>
      <c r="F141" s="1848"/>
    </row>
    <row r="142" spans="1:6" ht="15" thickBot="1">
      <c r="A142" s="1835" t="s">
        <v>1409</v>
      </c>
      <c r="B142" s="1839" t="s">
        <v>1353</v>
      </c>
      <c r="C142" s="1840">
        <v>0.125</v>
      </c>
      <c r="D142" s="1840">
        <v>0.125</v>
      </c>
      <c r="E142" s="1840">
        <v>0.115</v>
      </c>
      <c r="F142" s="1848"/>
    </row>
    <row r="143" spans="1:6" ht="15" thickBot="1">
      <c r="A143" s="1835" t="s">
        <v>1409</v>
      </c>
      <c r="B143" s="1839" t="s">
        <v>1358</v>
      </c>
      <c r="C143" s="1840">
        <v>0.121</v>
      </c>
      <c r="D143" s="1840">
        <v>0.121</v>
      </c>
      <c r="E143" s="1840">
        <v>0.108</v>
      </c>
      <c r="F143" s="1848"/>
    </row>
    <row r="144" spans="1:6" ht="15" thickBot="1">
      <c r="A144" s="1835" t="s">
        <v>1409</v>
      </c>
      <c r="B144" s="1852" t="s">
        <v>2109</v>
      </c>
      <c r="C144" s="1853">
        <v>0.126</v>
      </c>
      <c r="D144" s="1853">
        <v>0.126</v>
      </c>
      <c r="E144" s="1853">
        <v>0.121</v>
      </c>
      <c r="F144" s="1848"/>
    </row>
    <row r="145" spans="1:6" ht="15" thickBot="1">
      <c r="A145" s="1843" t="s">
        <v>1409</v>
      </c>
      <c r="B145" s="1854" t="s">
        <v>2110</v>
      </c>
      <c r="C145" s="1855"/>
      <c r="D145" s="1855"/>
      <c r="E145" s="1855"/>
      <c r="F145" s="1856">
        <v>0.05</v>
      </c>
    </row>
    <row r="146" spans="1:6" ht="24.6" thickBot="1">
      <c r="A146" s="1857" t="s">
        <v>1409</v>
      </c>
      <c r="B146" s="1842" t="s">
        <v>2111</v>
      </c>
      <c r="C146" s="1849"/>
      <c r="D146" s="1849"/>
      <c r="E146" s="1849"/>
      <c r="F146" s="1858">
        <v>0.05</v>
      </c>
    </row>
    <row r="147" spans="1:6" ht="24.6" thickBot="1">
      <c r="A147" s="1835" t="s">
        <v>1409</v>
      </c>
      <c r="B147" s="1839" t="s">
        <v>2112</v>
      </c>
      <c r="C147" s="1849"/>
      <c r="D147" s="1849"/>
      <c r="E147" s="1849"/>
      <c r="F147" s="1841">
        <v>0.05</v>
      </c>
    </row>
    <row r="148" spans="1:6" ht="24.6" thickBot="1">
      <c r="A148" s="1835" t="s">
        <v>1409</v>
      </c>
      <c r="B148" s="1839" t="s">
        <v>2113</v>
      </c>
      <c r="C148" s="1849"/>
      <c r="D148" s="1849"/>
      <c r="E148" s="1849"/>
      <c r="F148" s="1841">
        <v>0.05</v>
      </c>
    </row>
    <row r="149" spans="1:6" ht="24.6" thickBot="1">
      <c r="A149" s="1835" t="s">
        <v>1409</v>
      </c>
      <c r="B149" s="1839" t="s">
        <v>2114</v>
      </c>
      <c r="C149" s="1849"/>
      <c r="D149" s="1849"/>
      <c r="E149" s="1849"/>
      <c r="F149" s="1841">
        <v>0.05</v>
      </c>
    </row>
    <row r="150" spans="1:6" ht="24.6" thickBot="1">
      <c r="A150" s="1835" t="s">
        <v>1409</v>
      </c>
      <c r="B150" s="1839" t="s">
        <v>2115</v>
      </c>
      <c r="C150" s="1849"/>
      <c r="D150" s="1849"/>
      <c r="E150" s="1849"/>
      <c r="F150" s="1841">
        <v>0.05</v>
      </c>
    </row>
    <row r="151" spans="1:6" ht="24.6" thickBot="1">
      <c r="A151" s="1835" t="s">
        <v>1409</v>
      </c>
      <c r="B151" s="1839" t="s">
        <v>2116</v>
      </c>
      <c r="C151" s="1849"/>
      <c r="D151" s="1849"/>
      <c r="E151" s="1849"/>
      <c r="F151" s="1841">
        <v>0.05</v>
      </c>
    </row>
    <row r="152" spans="1:6" ht="24.6" thickBot="1">
      <c r="A152" s="1835" t="s">
        <v>1409</v>
      </c>
      <c r="B152" s="1839" t="s">
        <v>1391</v>
      </c>
      <c r="C152" s="1849"/>
      <c r="D152" s="1849"/>
      <c r="E152" s="1849"/>
      <c r="F152" s="1841">
        <v>0.05</v>
      </c>
    </row>
    <row r="153" spans="1:6" ht="15" thickBot="1">
      <c r="A153" s="1835" t="s">
        <v>1409</v>
      </c>
      <c r="B153" s="1839" t="s">
        <v>2117</v>
      </c>
      <c r="C153" s="1849"/>
      <c r="D153" s="1849"/>
      <c r="E153" s="1849"/>
      <c r="F153" s="1841">
        <v>0.05</v>
      </c>
    </row>
    <row r="154" spans="1:6" ht="15" thickBot="1">
      <c r="A154" s="1835" t="s">
        <v>1409</v>
      </c>
      <c r="B154" s="1839" t="s">
        <v>2118</v>
      </c>
      <c r="C154" s="1849"/>
      <c r="D154" s="1849"/>
      <c r="E154" s="1849"/>
      <c r="F154" s="1841">
        <v>0.05</v>
      </c>
    </row>
    <row r="155" spans="1:6" ht="24.6" thickBot="1">
      <c r="A155" s="1835" t="s">
        <v>1409</v>
      </c>
      <c r="B155" s="1839" t="s">
        <v>2119</v>
      </c>
      <c r="C155" s="1849"/>
      <c r="D155" s="1849"/>
      <c r="E155" s="1849"/>
      <c r="F155" s="1841">
        <v>0.05</v>
      </c>
    </row>
    <row r="156" spans="1:6" ht="24.6" thickBot="1">
      <c r="A156" s="1835" t="s">
        <v>1409</v>
      </c>
      <c r="B156" s="1839" t="s">
        <v>2120</v>
      </c>
      <c r="C156" s="1849"/>
      <c r="D156" s="1849"/>
      <c r="E156" s="1849"/>
      <c r="F156" s="1841">
        <v>0.05</v>
      </c>
    </row>
    <row r="157" spans="1:6" ht="24.6" thickBot="1">
      <c r="A157" s="1843" t="s">
        <v>1409</v>
      </c>
      <c r="B157" s="1850" t="s">
        <v>2121</v>
      </c>
      <c r="C157" s="1846"/>
      <c r="D157" s="1846"/>
      <c r="E157" s="1846"/>
      <c r="F157" s="1851">
        <v>0.05</v>
      </c>
    </row>
    <row r="158" spans="1:6" ht="15" thickBot="1">
      <c r="A158" s="1835" t="s">
        <v>1411</v>
      </c>
      <c r="B158" s="1836" t="s">
        <v>2122</v>
      </c>
      <c r="C158" s="1837">
        <v>0.13</v>
      </c>
      <c r="D158" s="1837">
        <v>0.13</v>
      </c>
      <c r="E158" s="1837">
        <v>0.13</v>
      </c>
      <c r="F158" s="1838">
        <v>0.13</v>
      </c>
    </row>
    <row r="159" spans="1:6" ht="15" thickBot="1">
      <c r="A159" s="1835" t="s">
        <v>1411</v>
      </c>
      <c r="B159" s="1839" t="s">
        <v>1076</v>
      </c>
      <c r="C159" s="1840">
        <v>0.13</v>
      </c>
      <c r="D159" s="1840">
        <v>0.13</v>
      </c>
      <c r="E159" s="1840">
        <v>0.13</v>
      </c>
      <c r="F159" s="1841">
        <v>0.13</v>
      </c>
    </row>
    <row r="160" spans="1:6" ht="15" thickBot="1">
      <c r="A160" s="1835" t="s">
        <v>1411</v>
      </c>
      <c r="B160" s="1839" t="s">
        <v>1090</v>
      </c>
      <c r="C160" s="1840">
        <v>0.13</v>
      </c>
      <c r="D160" s="1840">
        <v>0.13</v>
      </c>
      <c r="E160" s="1840">
        <v>0.129</v>
      </c>
      <c r="F160" s="1841">
        <v>0.13</v>
      </c>
    </row>
    <row r="161" spans="1:6" ht="15" thickBot="1">
      <c r="A161" s="1835" t="s">
        <v>1411</v>
      </c>
      <c r="B161" s="1839" t="s">
        <v>1103</v>
      </c>
      <c r="C161" s="1840">
        <v>0.128</v>
      </c>
      <c r="D161" s="1840">
        <v>0.128</v>
      </c>
      <c r="E161" s="1840">
        <v>0.125</v>
      </c>
      <c r="F161" s="1841">
        <v>0.13</v>
      </c>
    </row>
    <row r="162" spans="1:6" ht="15" thickBot="1">
      <c r="A162" s="1835" t="s">
        <v>1411</v>
      </c>
      <c r="B162" s="1839" t="s">
        <v>1117</v>
      </c>
      <c r="C162" s="1840">
        <v>0.122</v>
      </c>
      <c r="D162" s="1840">
        <v>0.122</v>
      </c>
      <c r="E162" s="1840">
        <v>0.126</v>
      </c>
      <c r="F162" s="1841">
        <v>0.122</v>
      </c>
    </row>
    <row r="163" spans="1:6" ht="15" thickBot="1">
      <c r="A163" s="1835" t="s">
        <v>1411</v>
      </c>
      <c r="B163" s="1839" t="s">
        <v>1128</v>
      </c>
      <c r="C163" s="1840">
        <v>0.13</v>
      </c>
      <c r="D163" s="1840">
        <v>0.13</v>
      </c>
      <c r="E163" s="1840">
        <v>0.125</v>
      </c>
      <c r="F163" s="1841">
        <v>0.13</v>
      </c>
    </row>
    <row r="164" spans="1:6" ht="15" thickBot="1">
      <c r="A164" s="1835" t="s">
        <v>1411</v>
      </c>
      <c r="B164" s="1839" t="s">
        <v>1139</v>
      </c>
      <c r="C164" s="1840">
        <v>0.13</v>
      </c>
      <c r="D164" s="1840">
        <v>0.13</v>
      </c>
      <c r="E164" s="1840">
        <v>0.13</v>
      </c>
      <c r="F164" s="1841">
        <v>0.13</v>
      </c>
    </row>
    <row r="165" spans="1:6" ht="15" thickBot="1">
      <c r="A165" s="1835" t="s">
        <v>1411</v>
      </c>
      <c r="B165" s="1839" t="s">
        <v>1150</v>
      </c>
      <c r="C165" s="1840">
        <v>0.13</v>
      </c>
      <c r="D165" s="1840">
        <v>0.13</v>
      </c>
      <c r="E165" s="1840">
        <v>0.124</v>
      </c>
      <c r="F165" s="1841">
        <v>0.13</v>
      </c>
    </row>
    <row r="166" spans="1:6" ht="15" thickBot="1">
      <c r="A166" s="1835" t="s">
        <v>1411</v>
      </c>
      <c r="B166" s="1839" t="s">
        <v>1162</v>
      </c>
      <c r="C166" s="1840">
        <v>0.13</v>
      </c>
      <c r="D166" s="1840">
        <v>0.13</v>
      </c>
      <c r="E166" s="1840">
        <v>0.13</v>
      </c>
      <c r="F166" s="1841">
        <v>0.13</v>
      </c>
    </row>
    <row r="167" spans="1:6" ht="15" thickBot="1">
      <c r="A167" s="1835" t="s">
        <v>1411</v>
      </c>
      <c r="B167" s="1839" t="s">
        <v>1172</v>
      </c>
      <c r="C167" s="1840">
        <v>0.125</v>
      </c>
      <c r="D167" s="1840">
        <v>0.125</v>
      </c>
      <c r="E167" s="1840">
        <v>0.121</v>
      </c>
      <c r="F167" s="1848"/>
    </row>
    <row r="168" spans="1:6" ht="15" thickBot="1">
      <c r="A168" s="1835" t="s">
        <v>1411</v>
      </c>
      <c r="B168" s="1839" t="s">
        <v>1182</v>
      </c>
      <c r="C168" s="1840">
        <v>0.13</v>
      </c>
      <c r="D168" s="1840">
        <v>0.13</v>
      </c>
      <c r="E168" s="1840">
        <v>0.126</v>
      </c>
      <c r="F168" s="1848"/>
    </row>
    <row r="169" spans="1:6" ht="15" thickBot="1">
      <c r="A169" s="1835" t="s">
        <v>1411</v>
      </c>
      <c r="B169" s="1839" t="s">
        <v>1192</v>
      </c>
      <c r="C169" s="1840">
        <v>0.128</v>
      </c>
      <c r="D169" s="1840">
        <v>0.129</v>
      </c>
      <c r="E169" s="1840">
        <v>0.13</v>
      </c>
      <c r="F169" s="1848"/>
    </row>
    <row r="170" spans="1:6" ht="15" thickBot="1">
      <c r="A170" s="1835" t="s">
        <v>1411</v>
      </c>
      <c r="B170" s="1839" t="s">
        <v>1202</v>
      </c>
      <c r="C170" s="1840">
        <v>0.14099999999999999</v>
      </c>
      <c r="D170" s="1840">
        <v>0.13</v>
      </c>
      <c r="E170" s="1840">
        <v>0.125</v>
      </c>
      <c r="F170" s="1848"/>
    </row>
    <row r="171" spans="1:6" ht="15" thickBot="1">
      <c r="A171" s="1835" t="s">
        <v>1411</v>
      </c>
      <c r="B171" s="1839" t="s">
        <v>2123</v>
      </c>
      <c r="C171" s="1840">
        <v>0.127</v>
      </c>
      <c r="D171" s="1840">
        <v>0.126</v>
      </c>
      <c r="E171" s="1840">
        <v>0.126</v>
      </c>
      <c r="F171" s="1841">
        <v>0.11799999999999999</v>
      </c>
    </row>
    <row r="172" spans="1:6" ht="15" thickBot="1">
      <c r="A172" s="1835" t="s">
        <v>1411</v>
      </c>
      <c r="B172" s="1839" t="s">
        <v>2124</v>
      </c>
      <c r="C172" s="1840">
        <v>0.13</v>
      </c>
      <c r="D172" s="1840">
        <v>0.13</v>
      </c>
      <c r="E172" s="1840">
        <v>0.13</v>
      </c>
      <c r="F172" s="1848"/>
    </row>
    <row r="173" spans="1:6" ht="15" thickBot="1">
      <c r="A173" s="1835" t="s">
        <v>1411</v>
      </c>
      <c r="B173" s="1839" t="s">
        <v>1232</v>
      </c>
      <c r="C173" s="1840">
        <v>0.13</v>
      </c>
      <c r="D173" s="1840">
        <v>0.13</v>
      </c>
      <c r="E173" s="1840">
        <v>0.13</v>
      </c>
      <c r="F173" s="1848"/>
    </row>
    <row r="174" spans="1:6" ht="15" thickBot="1">
      <c r="A174" s="1835" t="s">
        <v>1411</v>
      </c>
      <c r="B174" s="1839" t="s">
        <v>2125</v>
      </c>
      <c r="C174" s="1840">
        <v>0.13</v>
      </c>
      <c r="D174" s="1840">
        <v>0.13</v>
      </c>
      <c r="E174" s="1840">
        <v>0.13</v>
      </c>
      <c r="F174" s="1841">
        <v>0.13</v>
      </c>
    </row>
    <row r="175" spans="1:6" ht="15" thickBot="1">
      <c r="A175" s="1835" t="s">
        <v>1411</v>
      </c>
      <c r="B175" s="1839" t="s">
        <v>2126</v>
      </c>
      <c r="C175" s="1840">
        <v>0.13</v>
      </c>
      <c r="D175" s="1840">
        <v>0.13</v>
      </c>
      <c r="E175" s="1840">
        <v>0.13</v>
      </c>
      <c r="F175" s="1841">
        <v>0.13</v>
      </c>
    </row>
    <row r="176" spans="1:6" ht="15" thickBot="1">
      <c r="A176" s="1835" t="s">
        <v>1411</v>
      </c>
      <c r="B176" s="1839" t="s">
        <v>1262</v>
      </c>
      <c r="C176" s="1840">
        <v>0.13</v>
      </c>
      <c r="D176" s="1840">
        <v>0.13</v>
      </c>
      <c r="E176" s="1840">
        <v>0.13</v>
      </c>
      <c r="F176" s="1841">
        <v>0.13</v>
      </c>
    </row>
    <row r="177" spans="1:6" ht="15" thickBot="1">
      <c r="A177" s="1835" t="s">
        <v>1411</v>
      </c>
      <c r="B177" s="1839" t="s">
        <v>2127</v>
      </c>
      <c r="C177" s="1840">
        <v>0.13</v>
      </c>
      <c r="D177" s="1840">
        <v>0.13</v>
      </c>
      <c r="E177" s="1840">
        <v>0.13</v>
      </c>
      <c r="F177" s="1841">
        <v>0.13</v>
      </c>
    </row>
    <row r="178" spans="1:6" ht="15" thickBot="1">
      <c r="A178" s="1835" t="s">
        <v>1411</v>
      </c>
      <c r="B178" s="1839" t="s">
        <v>1280</v>
      </c>
      <c r="C178" s="1840">
        <v>0.13</v>
      </c>
      <c r="D178" s="1840">
        <v>0.13</v>
      </c>
      <c r="E178" s="1840">
        <v>0.13</v>
      </c>
      <c r="F178" s="1841">
        <v>0.127</v>
      </c>
    </row>
    <row r="179" spans="1:6" ht="15" thickBot="1">
      <c r="A179" s="1835" t="s">
        <v>1411</v>
      </c>
      <c r="B179" s="1839" t="s">
        <v>1288</v>
      </c>
      <c r="C179" s="1840">
        <v>0.13</v>
      </c>
      <c r="D179" s="1840">
        <v>0.13</v>
      </c>
      <c r="E179" s="1840">
        <v>0.13</v>
      </c>
      <c r="F179" s="1848"/>
    </row>
    <row r="180" spans="1:6" ht="15" thickBot="1">
      <c r="A180" s="1835" t="s">
        <v>1411</v>
      </c>
      <c r="B180" s="1839" t="s">
        <v>2128</v>
      </c>
      <c r="C180" s="1840">
        <v>0.13</v>
      </c>
      <c r="D180" s="1840">
        <v>0.13</v>
      </c>
      <c r="E180" s="1840">
        <v>0.125</v>
      </c>
      <c r="F180" s="1841">
        <v>0.13</v>
      </c>
    </row>
    <row r="181" spans="1:6" ht="15" thickBot="1">
      <c r="A181" s="1835" t="s">
        <v>1411</v>
      </c>
      <c r="B181" s="1839" t="s">
        <v>1302</v>
      </c>
      <c r="C181" s="1840">
        <v>0.122</v>
      </c>
      <c r="D181" s="1840">
        <v>0.123</v>
      </c>
      <c r="E181" s="1840">
        <v>0.126</v>
      </c>
      <c r="F181" s="1841">
        <v>0.121</v>
      </c>
    </row>
    <row r="182" spans="1:6" ht="15" thickBot="1">
      <c r="A182" s="1835" t="s">
        <v>1411</v>
      </c>
      <c r="B182" s="1839" t="s">
        <v>1309</v>
      </c>
      <c r="C182" s="1840">
        <v>0.125</v>
      </c>
      <c r="D182" s="1840">
        <v>0.125</v>
      </c>
      <c r="E182" s="1840">
        <v>0.11700000000000001</v>
      </c>
      <c r="F182" s="1841">
        <v>0.13</v>
      </c>
    </row>
    <row r="183" spans="1:6" ht="15" thickBot="1">
      <c r="A183" s="1835" t="s">
        <v>1411</v>
      </c>
      <c r="B183" s="1839" t="s">
        <v>1316</v>
      </c>
      <c r="C183" s="1840">
        <v>0.127</v>
      </c>
      <c r="D183" s="1840">
        <v>0.127</v>
      </c>
      <c r="E183" s="1840">
        <v>0.128</v>
      </c>
      <c r="F183" s="1848"/>
    </row>
    <row r="184" spans="1:6" ht="15" thickBot="1">
      <c r="A184" s="1835" t="s">
        <v>1411</v>
      </c>
      <c r="B184" s="1839" t="s">
        <v>1323</v>
      </c>
      <c r="C184" s="1840">
        <v>0.125</v>
      </c>
      <c r="D184" s="1840">
        <v>0.125</v>
      </c>
      <c r="E184" s="1840">
        <v>0.127</v>
      </c>
      <c r="F184" s="1848"/>
    </row>
    <row r="185" spans="1:6" ht="15" thickBot="1">
      <c r="A185" s="1835" t="s">
        <v>1411</v>
      </c>
      <c r="B185" s="1839" t="s">
        <v>2129</v>
      </c>
      <c r="C185" s="1840">
        <v>0.127</v>
      </c>
      <c r="D185" s="1840">
        <v>0.127</v>
      </c>
      <c r="E185" s="1840">
        <v>0.128</v>
      </c>
      <c r="F185" s="1841">
        <v>0.13</v>
      </c>
    </row>
    <row r="186" spans="1:6" ht="24.6" thickBot="1">
      <c r="A186" s="1835" t="s">
        <v>1411</v>
      </c>
      <c r="B186" s="1839" t="s">
        <v>2130</v>
      </c>
      <c r="C186" s="1849"/>
      <c r="D186" s="1849"/>
      <c r="E186" s="1849"/>
      <c r="F186" s="1841">
        <v>0.05</v>
      </c>
    </row>
    <row r="187" spans="1:6" ht="15" thickBot="1">
      <c r="A187" s="1835" t="s">
        <v>1411</v>
      </c>
      <c r="B187" s="1839" t="s">
        <v>2131</v>
      </c>
      <c r="C187" s="1849"/>
      <c r="D187" s="1849"/>
      <c r="E187" s="1849"/>
      <c r="F187" s="1841">
        <v>0.05</v>
      </c>
    </row>
    <row r="188" spans="1:6" ht="24.6" thickBot="1">
      <c r="A188" s="1835" t="s">
        <v>1411</v>
      </c>
      <c r="B188" s="1839" t="s">
        <v>2132</v>
      </c>
      <c r="C188" s="1849"/>
      <c r="D188" s="1849"/>
      <c r="E188" s="1849"/>
      <c r="F188" s="1841">
        <v>0.05</v>
      </c>
    </row>
    <row r="189" spans="1:6" ht="24.6" thickBot="1">
      <c r="A189" s="1835" t="s">
        <v>1411</v>
      </c>
      <c r="B189" s="1839" t="s">
        <v>2133</v>
      </c>
      <c r="C189" s="1849"/>
      <c r="D189" s="1849"/>
      <c r="E189" s="1849"/>
      <c r="F189" s="1841">
        <v>0.05</v>
      </c>
    </row>
    <row r="190" spans="1:6" ht="24.6" thickBot="1">
      <c r="A190" s="1835" t="s">
        <v>1411</v>
      </c>
      <c r="B190" s="1839" t="s">
        <v>2134</v>
      </c>
      <c r="C190" s="1849"/>
      <c r="D190" s="1849"/>
      <c r="E190" s="1849"/>
      <c r="F190" s="1841">
        <v>0.05</v>
      </c>
    </row>
    <row r="191" spans="1:6" ht="24.6" thickBot="1">
      <c r="A191" s="1835" t="s">
        <v>1411</v>
      </c>
      <c r="B191" s="1839" t="s">
        <v>2135</v>
      </c>
      <c r="C191" s="1849"/>
      <c r="D191" s="1849"/>
      <c r="E191" s="1849"/>
      <c r="F191" s="1841">
        <v>0.05</v>
      </c>
    </row>
    <row r="192" spans="1:6" ht="24.6" thickBot="1">
      <c r="A192" s="1835" t="s">
        <v>1411</v>
      </c>
      <c r="B192" s="1839" t="s">
        <v>2136</v>
      </c>
      <c r="C192" s="1849"/>
      <c r="D192" s="1849"/>
      <c r="E192" s="1849"/>
      <c r="F192" s="1841">
        <v>0.05</v>
      </c>
    </row>
    <row r="193" spans="1:6" ht="24.6" thickBot="1">
      <c r="A193" s="1835" t="s">
        <v>1411</v>
      </c>
      <c r="B193" s="1839" t="s">
        <v>2137</v>
      </c>
      <c r="C193" s="1849"/>
      <c r="D193" s="1849"/>
      <c r="E193" s="1849"/>
      <c r="F193" s="1841">
        <v>0.05</v>
      </c>
    </row>
    <row r="194" spans="1:6" ht="24.6" thickBot="1">
      <c r="A194" s="1835" t="s">
        <v>1411</v>
      </c>
      <c r="B194" s="1839" t="s">
        <v>2138</v>
      </c>
      <c r="C194" s="1849"/>
      <c r="D194" s="1849"/>
      <c r="E194" s="1849"/>
      <c r="F194" s="1841">
        <v>0.05</v>
      </c>
    </row>
    <row r="195" spans="1:6" ht="15" thickBot="1">
      <c r="A195" s="1835" t="s">
        <v>1411</v>
      </c>
      <c r="B195" s="1839" t="s">
        <v>2139</v>
      </c>
      <c r="C195" s="1849"/>
      <c r="D195" s="1849"/>
      <c r="E195" s="1849"/>
      <c r="F195" s="1841">
        <v>0.05</v>
      </c>
    </row>
    <row r="196" spans="1:6" ht="24.6" thickBot="1">
      <c r="A196" s="1835" t="s">
        <v>1411</v>
      </c>
      <c r="B196" s="1839" t="s">
        <v>2140</v>
      </c>
      <c r="C196" s="1849"/>
      <c r="D196" s="1849"/>
      <c r="E196" s="1849"/>
      <c r="F196" s="1841">
        <v>0.05</v>
      </c>
    </row>
    <row r="197" spans="1:6" ht="24.6" thickBot="1">
      <c r="A197" s="1835" t="s">
        <v>1411</v>
      </c>
      <c r="B197" s="1839" t="s">
        <v>2141</v>
      </c>
      <c r="C197" s="1849"/>
      <c r="D197" s="1849"/>
      <c r="E197" s="1849"/>
      <c r="F197" s="1841">
        <v>0.05</v>
      </c>
    </row>
    <row r="198" spans="1:6" ht="24.6" thickBot="1">
      <c r="A198" s="1835" t="s">
        <v>1411</v>
      </c>
      <c r="B198" s="1839" t="s">
        <v>2142</v>
      </c>
      <c r="C198" s="1849"/>
      <c r="D198" s="1849"/>
      <c r="E198" s="1849"/>
      <c r="F198" s="1841">
        <v>0.05</v>
      </c>
    </row>
    <row r="199" spans="1:6" ht="24.6" thickBot="1">
      <c r="A199" s="1835" t="s">
        <v>1411</v>
      </c>
      <c r="B199" s="1839" t="s">
        <v>2143</v>
      </c>
      <c r="C199" s="1849"/>
      <c r="D199" s="1849"/>
      <c r="E199" s="1849"/>
      <c r="F199" s="1841">
        <v>0.05</v>
      </c>
    </row>
    <row r="200" spans="1:6" ht="24.6" thickBot="1">
      <c r="A200" s="1835" t="s">
        <v>1411</v>
      </c>
      <c r="B200" s="1839" t="s">
        <v>2144</v>
      </c>
      <c r="C200" s="1849"/>
      <c r="D200" s="1849"/>
      <c r="E200" s="1849"/>
      <c r="F200" s="1841">
        <v>0.05</v>
      </c>
    </row>
    <row r="201" spans="1:6" ht="24.6" thickBot="1">
      <c r="A201" s="1835" t="s">
        <v>1411</v>
      </c>
      <c r="B201" s="1839" t="s">
        <v>2145</v>
      </c>
      <c r="C201" s="1849"/>
      <c r="D201" s="1849"/>
      <c r="E201" s="1849"/>
      <c r="F201" s="1841">
        <v>0.05</v>
      </c>
    </row>
    <row r="202" spans="1:6" ht="24.6" thickBot="1">
      <c r="A202" s="1835" t="s">
        <v>1411</v>
      </c>
      <c r="B202" s="1839" t="s">
        <v>2146</v>
      </c>
      <c r="C202" s="1849"/>
      <c r="D202" s="1849"/>
      <c r="E202" s="1849"/>
      <c r="F202" s="1841">
        <v>0.05</v>
      </c>
    </row>
    <row r="203" spans="1:6" ht="24.6" thickBot="1">
      <c r="A203" s="1835" t="s">
        <v>1411</v>
      </c>
      <c r="B203" s="1839" t="s">
        <v>2147</v>
      </c>
      <c r="C203" s="1849"/>
      <c r="D203" s="1849"/>
      <c r="E203" s="1849"/>
      <c r="F203" s="1841">
        <v>0.05</v>
      </c>
    </row>
    <row r="204" spans="1:6" ht="15" thickBot="1">
      <c r="A204" s="1835" t="s">
        <v>1411</v>
      </c>
      <c r="B204" s="1839" t="s">
        <v>2148</v>
      </c>
      <c r="C204" s="1849"/>
      <c r="D204" s="1849"/>
      <c r="E204" s="1849"/>
      <c r="F204" s="1841">
        <v>0.05</v>
      </c>
    </row>
    <row r="205" spans="1:6" ht="15" thickBot="1">
      <c r="A205" s="1843" t="s">
        <v>1411</v>
      </c>
      <c r="B205" s="1850" t="s">
        <v>2149</v>
      </c>
      <c r="C205" s="1846"/>
      <c r="D205" s="1846"/>
      <c r="E205" s="1846"/>
      <c r="F205" s="1851">
        <v>0.05</v>
      </c>
    </row>
    <row r="206" spans="1:6" ht="15" thickBot="1">
      <c r="A206" s="1835" t="s">
        <v>1413</v>
      </c>
      <c r="B206" s="1836" t="s">
        <v>2150</v>
      </c>
      <c r="C206" s="1837">
        <v>0.15</v>
      </c>
      <c r="D206" s="1837">
        <v>0.15</v>
      </c>
      <c r="E206" s="1837">
        <v>0.15</v>
      </c>
      <c r="F206" s="1838">
        <v>0.15</v>
      </c>
    </row>
    <row r="207" spans="1:6" ht="15" thickBot="1">
      <c r="A207" s="1835" t="s">
        <v>1413</v>
      </c>
      <c r="B207" s="1839" t="s">
        <v>1077</v>
      </c>
      <c r="C207" s="1840">
        <v>0.15</v>
      </c>
      <c r="D207" s="1840">
        <v>0.15</v>
      </c>
      <c r="E207" s="1840">
        <v>0.15</v>
      </c>
      <c r="F207" s="1841">
        <v>0.14399999999999999</v>
      </c>
    </row>
    <row r="208" spans="1:6" ht="15" thickBot="1">
      <c r="A208" s="1835" t="s">
        <v>1413</v>
      </c>
      <c r="B208" s="1839" t="s">
        <v>1091</v>
      </c>
      <c r="C208" s="1840">
        <v>0.15</v>
      </c>
      <c r="D208" s="1840">
        <v>0.15</v>
      </c>
      <c r="E208" s="1840">
        <v>0.15</v>
      </c>
      <c r="F208" s="1841">
        <v>0.15</v>
      </c>
    </row>
    <row r="209" spans="1:6" ht="15" thickBot="1">
      <c r="A209" s="1835" t="s">
        <v>1413</v>
      </c>
      <c r="B209" s="1839" t="s">
        <v>1104</v>
      </c>
      <c r="C209" s="1840">
        <v>0.13700000000000001</v>
      </c>
      <c r="D209" s="1840">
        <v>0.13700000000000001</v>
      </c>
      <c r="E209" s="1840">
        <v>0.14000000000000001</v>
      </c>
      <c r="F209" s="1841">
        <v>0.11700000000000001</v>
      </c>
    </row>
    <row r="210" spans="1:6" ht="15" thickBot="1">
      <c r="A210" s="1835" t="s">
        <v>1413</v>
      </c>
      <c r="B210" s="1839" t="s">
        <v>2151</v>
      </c>
      <c r="C210" s="1840">
        <v>0.15</v>
      </c>
      <c r="D210" s="1840">
        <v>0.15</v>
      </c>
      <c r="E210" s="1840">
        <v>0.15</v>
      </c>
      <c r="F210" s="1841">
        <v>0.13800000000000001</v>
      </c>
    </row>
    <row r="211" spans="1:6" ht="15" thickBot="1">
      <c r="A211" s="1835" t="s">
        <v>1413</v>
      </c>
      <c r="B211" s="1839" t="s">
        <v>2152</v>
      </c>
      <c r="C211" s="1840">
        <v>0.13700000000000001</v>
      </c>
      <c r="D211" s="1840">
        <v>0.13500000000000001</v>
      </c>
      <c r="E211" s="1840">
        <v>0.13600000000000001</v>
      </c>
      <c r="F211" s="1841">
        <v>0.1</v>
      </c>
    </row>
    <row r="212" spans="1:6" ht="15" thickBot="1">
      <c r="A212" s="1835" t="s">
        <v>1413</v>
      </c>
      <c r="B212" s="1839" t="s">
        <v>2153</v>
      </c>
      <c r="C212" s="1840">
        <v>0.15</v>
      </c>
      <c r="D212" s="1840">
        <v>0.15</v>
      </c>
      <c r="E212" s="1840">
        <v>0.14799999999999999</v>
      </c>
      <c r="F212" s="1841">
        <v>0.13600000000000001</v>
      </c>
    </row>
    <row r="213" spans="1:6" ht="15" thickBot="1">
      <c r="A213" s="1835" t="s">
        <v>1413</v>
      </c>
      <c r="B213" s="1839" t="s">
        <v>1151</v>
      </c>
      <c r="C213" s="1840">
        <v>0.15</v>
      </c>
      <c r="D213" s="1840">
        <v>0.15</v>
      </c>
      <c r="E213" s="1840">
        <v>0.15</v>
      </c>
      <c r="F213" s="1841">
        <v>0.13800000000000001</v>
      </c>
    </row>
    <row r="214" spans="1:6" ht="15" thickBot="1">
      <c r="A214" s="1835" t="s">
        <v>1413</v>
      </c>
      <c r="B214" s="1839" t="s">
        <v>1163</v>
      </c>
      <c r="C214" s="1840">
        <v>9.0999999999999998E-2</v>
      </c>
      <c r="D214" s="1840">
        <v>0.09</v>
      </c>
      <c r="E214" s="1840">
        <v>9.1999999999999998E-2</v>
      </c>
      <c r="F214" s="1848"/>
    </row>
    <row r="215" spans="1:6" ht="15" thickBot="1">
      <c r="A215" s="1835" t="s">
        <v>1413</v>
      </c>
      <c r="B215" s="1839" t="s">
        <v>2154</v>
      </c>
      <c r="C215" s="1840">
        <v>0.15</v>
      </c>
      <c r="D215" s="1840">
        <v>0.15</v>
      </c>
      <c r="E215" s="1840">
        <v>0.15</v>
      </c>
      <c r="F215" s="1841">
        <v>0.15</v>
      </c>
    </row>
    <row r="216" spans="1:6" ht="15" thickBot="1">
      <c r="A216" s="1835" t="s">
        <v>1413</v>
      </c>
      <c r="B216" s="1839" t="s">
        <v>1183</v>
      </c>
      <c r="C216" s="1840">
        <v>0.14699999999999999</v>
      </c>
      <c r="D216" s="1840">
        <v>0.14699999999999999</v>
      </c>
      <c r="E216" s="1840">
        <v>0.15</v>
      </c>
      <c r="F216" s="1841">
        <v>0.14000000000000001</v>
      </c>
    </row>
    <row r="217" spans="1:6" ht="15" thickBot="1">
      <c r="A217" s="1835" t="s">
        <v>1413</v>
      </c>
      <c r="B217" s="1839" t="s">
        <v>1193</v>
      </c>
      <c r="C217" s="1840">
        <v>0.15</v>
      </c>
      <c r="D217" s="1840">
        <v>0.15</v>
      </c>
      <c r="E217" s="1840">
        <v>0.15</v>
      </c>
      <c r="F217" s="1841">
        <v>0.15</v>
      </c>
    </row>
    <row r="218" spans="1:6" ht="15" thickBot="1">
      <c r="A218" s="1835" t="s">
        <v>1413</v>
      </c>
      <c r="B218" s="1839" t="s">
        <v>2155</v>
      </c>
      <c r="C218" s="1840">
        <v>0.15</v>
      </c>
      <c r="D218" s="1840">
        <v>0.15</v>
      </c>
      <c r="E218" s="1840">
        <v>0.15</v>
      </c>
      <c r="F218" s="1841">
        <v>0.15</v>
      </c>
    </row>
    <row r="219" spans="1:6" ht="15" thickBot="1">
      <c r="A219" s="1835" t="s">
        <v>1413</v>
      </c>
      <c r="B219" s="1839" t="s">
        <v>1213</v>
      </c>
      <c r="C219" s="1840">
        <v>0.15</v>
      </c>
      <c r="D219" s="1840">
        <v>0.15</v>
      </c>
      <c r="E219" s="1840">
        <v>0.15</v>
      </c>
      <c r="F219" s="1841">
        <v>0.14799999999999999</v>
      </c>
    </row>
    <row r="220" spans="1:6" ht="15" thickBot="1">
      <c r="A220" s="1835" t="s">
        <v>1413</v>
      </c>
      <c r="B220" s="1839" t="s">
        <v>2156</v>
      </c>
      <c r="C220" s="1840">
        <v>0.15</v>
      </c>
      <c r="D220" s="1840">
        <v>0.15</v>
      </c>
      <c r="E220" s="1840">
        <v>0.15</v>
      </c>
      <c r="F220" s="1841">
        <v>0.15</v>
      </c>
    </row>
    <row r="221" spans="1:6" ht="15" thickBot="1">
      <c r="A221" s="1835" t="s">
        <v>1413</v>
      </c>
      <c r="B221" s="1839" t="s">
        <v>1233</v>
      </c>
      <c r="C221" s="1840"/>
      <c r="D221" s="1849"/>
      <c r="E221" s="1849"/>
      <c r="F221" s="1841">
        <v>0.14799999999999999</v>
      </c>
    </row>
    <row r="222" spans="1:6" ht="15" thickBot="1">
      <c r="A222" s="1835" t="s">
        <v>1413</v>
      </c>
      <c r="B222" s="1839" t="s">
        <v>1243</v>
      </c>
      <c r="C222" s="1840"/>
      <c r="D222" s="1849"/>
      <c r="E222" s="1849"/>
      <c r="F222" s="1841">
        <v>0.1</v>
      </c>
    </row>
    <row r="223" spans="1:6" ht="15" thickBot="1">
      <c r="A223" s="1835" t="s">
        <v>1413</v>
      </c>
      <c r="B223" s="1839" t="s">
        <v>1253</v>
      </c>
      <c r="C223" s="1840"/>
      <c r="D223" s="1849"/>
      <c r="E223" s="1849"/>
      <c r="F223" s="1841">
        <v>0.15</v>
      </c>
    </row>
    <row r="224" spans="1:6" ht="15" thickBot="1">
      <c r="A224" s="1835" t="s">
        <v>1413</v>
      </c>
      <c r="B224" s="1839" t="s">
        <v>1263</v>
      </c>
      <c r="C224" s="1840"/>
      <c r="D224" s="1849"/>
      <c r="E224" s="1849"/>
      <c r="F224" s="1841">
        <v>0.15</v>
      </c>
    </row>
    <row r="225" spans="1:6" ht="15" thickBot="1">
      <c r="A225" s="1835" t="s">
        <v>1413</v>
      </c>
      <c r="B225" s="1839" t="s">
        <v>2157</v>
      </c>
      <c r="C225" s="1840">
        <v>0.15</v>
      </c>
      <c r="D225" s="1840">
        <v>0.15</v>
      </c>
      <c r="E225" s="1840">
        <v>0.15</v>
      </c>
      <c r="F225" s="1841">
        <v>0.15</v>
      </c>
    </row>
    <row r="226" spans="1:6" ht="15" thickBot="1">
      <c r="A226" s="1835" t="s">
        <v>1413</v>
      </c>
      <c r="B226" s="1839" t="s">
        <v>1281</v>
      </c>
      <c r="C226" s="1840">
        <v>0.15</v>
      </c>
      <c r="D226" s="1840">
        <v>0.15</v>
      </c>
      <c r="E226" s="1840">
        <v>0.15</v>
      </c>
      <c r="F226" s="1841">
        <v>0.14799999999999999</v>
      </c>
    </row>
    <row r="227" spans="1:6" ht="15" thickBot="1">
      <c r="A227" s="1835" t="s">
        <v>1413</v>
      </c>
      <c r="B227" s="1839" t="s">
        <v>2158</v>
      </c>
      <c r="C227" s="1840">
        <v>0.15</v>
      </c>
      <c r="D227" s="1840">
        <v>0.15</v>
      </c>
      <c r="E227" s="1840">
        <v>0.15</v>
      </c>
      <c r="F227" s="1841">
        <v>0.15</v>
      </c>
    </row>
    <row r="228" spans="1:6" ht="15" thickBot="1">
      <c r="A228" s="1835" t="s">
        <v>1413</v>
      </c>
      <c r="B228" s="1839" t="s">
        <v>1296</v>
      </c>
      <c r="C228" s="1840">
        <v>0.15</v>
      </c>
      <c r="D228" s="1840">
        <v>0.15</v>
      </c>
      <c r="E228" s="1840">
        <v>0.15</v>
      </c>
      <c r="F228" s="1841">
        <v>0.15</v>
      </c>
    </row>
    <row r="229" spans="1:6" ht="15" thickBot="1">
      <c r="A229" s="1835" t="s">
        <v>1413</v>
      </c>
      <c r="B229" s="1839" t="s">
        <v>1303</v>
      </c>
      <c r="C229" s="1840">
        <v>0.15</v>
      </c>
      <c r="D229" s="1840">
        <v>0.15</v>
      </c>
      <c r="E229" s="1840">
        <v>0.15</v>
      </c>
      <c r="F229" s="1848"/>
    </row>
    <row r="230" spans="1:6" ht="15" thickBot="1">
      <c r="A230" s="1835" t="s">
        <v>1413</v>
      </c>
      <c r="B230" s="1839" t="s">
        <v>1310</v>
      </c>
      <c r="C230" s="1840">
        <v>0.14499999999999999</v>
      </c>
      <c r="D230" s="1840">
        <v>0.14499999999999999</v>
      </c>
      <c r="E230" s="1840">
        <v>0.14399999999999999</v>
      </c>
      <c r="F230" s="1848"/>
    </row>
    <row r="231" spans="1:6" ht="15" thickBot="1">
      <c r="A231" s="1835" t="s">
        <v>1413</v>
      </c>
      <c r="B231" s="1839" t="s">
        <v>2159</v>
      </c>
      <c r="C231" s="1840">
        <v>0.128</v>
      </c>
      <c r="D231" s="1840">
        <v>0.125</v>
      </c>
      <c r="E231" s="1840">
        <v>0.13200000000000001</v>
      </c>
      <c r="F231" s="1848"/>
    </row>
    <row r="232" spans="1:6" ht="15" thickBot="1">
      <c r="A232" s="1835" t="s">
        <v>1413</v>
      </c>
      <c r="B232" s="1839" t="s">
        <v>2160</v>
      </c>
      <c r="C232" s="1840">
        <v>0.14499999999999999</v>
      </c>
      <c r="D232" s="1840">
        <v>0.14399999999999999</v>
      </c>
      <c r="E232" s="1840">
        <v>0.14599999999999999</v>
      </c>
      <c r="F232" s="1841">
        <v>0.13800000000000001</v>
      </c>
    </row>
    <row r="233" spans="1:6" ht="15" thickBot="1">
      <c r="A233" s="1835" t="s">
        <v>1413</v>
      </c>
      <c r="B233" s="1839" t="s">
        <v>2161</v>
      </c>
      <c r="C233" s="1840">
        <v>0.14499999999999999</v>
      </c>
      <c r="D233" s="1840">
        <v>0.14299999999999999</v>
      </c>
      <c r="E233" s="1840">
        <v>0.14199999999999999</v>
      </c>
      <c r="F233" s="1848"/>
    </row>
    <row r="234" spans="1:6" ht="15" thickBot="1">
      <c r="A234" s="1835" t="s">
        <v>1413</v>
      </c>
      <c r="B234" s="1839" t="s">
        <v>2162</v>
      </c>
      <c r="C234" s="1840">
        <v>0.14000000000000001</v>
      </c>
      <c r="D234" s="1840">
        <v>0.14000000000000001</v>
      </c>
      <c r="E234" s="1840">
        <v>0.14399999999999999</v>
      </c>
      <c r="F234" s="1848"/>
    </row>
    <row r="235" spans="1:6" ht="15" thickBot="1">
      <c r="A235" s="1835" t="s">
        <v>1413</v>
      </c>
      <c r="B235" s="1839" t="s">
        <v>2163</v>
      </c>
      <c r="C235" s="1840">
        <v>0.14099999999999999</v>
      </c>
      <c r="D235" s="1840">
        <v>0.14199999999999999</v>
      </c>
      <c r="E235" s="1840">
        <v>0.14499999999999999</v>
      </c>
      <c r="F235" s="1841">
        <v>0.15</v>
      </c>
    </row>
    <row r="236" spans="1:6" ht="15" thickBot="1">
      <c r="A236" s="1835" t="s">
        <v>1413</v>
      </c>
      <c r="B236" s="1839" t="s">
        <v>1345</v>
      </c>
      <c r="C236" s="1849"/>
      <c r="D236" s="1849"/>
      <c r="E236" s="1849"/>
      <c r="F236" s="1841">
        <v>0.14299999999999999</v>
      </c>
    </row>
    <row r="237" spans="1:6" ht="24.6" thickBot="1">
      <c r="A237" s="1835" t="s">
        <v>1413</v>
      </c>
      <c r="B237" s="1839" t="s">
        <v>2164</v>
      </c>
      <c r="C237" s="1849"/>
      <c r="D237" s="1849"/>
      <c r="E237" s="1849"/>
      <c r="F237" s="1841">
        <v>0.05</v>
      </c>
    </row>
    <row r="238" spans="1:6" ht="24.6" thickBot="1">
      <c r="A238" s="1835" t="s">
        <v>1413</v>
      </c>
      <c r="B238" s="1839" t="s">
        <v>2165</v>
      </c>
      <c r="C238" s="1849"/>
      <c r="D238" s="1849"/>
      <c r="E238" s="1849"/>
      <c r="F238" s="1841">
        <v>0.05</v>
      </c>
    </row>
    <row r="239" spans="1:6" ht="24.6" thickBot="1">
      <c r="A239" s="1835" t="s">
        <v>1413</v>
      </c>
      <c r="B239" s="1839" t="s">
        <v>2166</v>
      </c>
      <c r="C239" s="1849"/>
      <c r="D239" s="1849"/>
      <c r="E239" s="1849"/>
      <c r="F239" s="1841">
        <v>0.05</v>
      </c>
    </row>
    <row r="240" spans="1:6" ht="24.6" thickBot="1">
      <c r="A240" s="1835" t="s">
        <v>1413</v>
      </c>
      <c r="B240" s="1839" t="s">
        <v>2167</v>
      </c>
      <c r="C240" s="1849"/>
      <c r="D240" s="1849"/>
      <c r="E240" s="1849"/>
      <c r="F240" s="1841">
        <v>0.05</v>
      </c>
    </row>
    <row r="241" spans="1:6" ht="24.6" thickBot="1">
      <c r="A241" s="1835" t="s">
        <v>1413</v>
      </c>
      <c r="B241" s="1839" t="s">
        <v>2168</v>
      </c>
      <c r="C241" s="1849"/>
      <c r="D241" s="1849"/>
      <c r="E241" s="1849"/>
      <c r="F241" s="1841">
        <v>0.05</v>
      </c>
    </row>
    <row r="242" spans="1:6" ht="24.6" thickBot="1">
      <c r="A242" s="1835" t="s">
        <v>1413</v>
      </c>
      <c r="B242" s="1839" t="s">
        <v>2169</v>
      </c>
      <c r="C242" s="1849"/>
      <c r="D242" s="1849"/>
      <c r="E242" s="1849"/>
      <c r="F242" s="1841">
        <v>0.05</v>
      </c>
    </row>
    <row r="243" spans="1:6" ht="24.6" thickBot="1">
      <c r="A243" s="1835" t="s">
        <v>1413</v>
      </c>
      <c r="B243" s="1839" t="s">
        <v>2170</v>
      </c>
      <c r="C243" s="1849"/>
      <c r="D243" s="1849"/>
      <c r="E243" s="1849"/>
      <c r="F243" s="1841">
        <v>0.05</v>
      </c>
    </row>
    <row r="244" spans="1:6" ht="24.6" thickBot="1">
      <c r="A244" s="1843" t="s">
        <v>1413</v>
      </c>
      <c r="B244" s="1850" t="s">
        <v>2171</v>
      </c>
      <c r="C244" s="1846"/>
      <c r="D244" s="1846"/>
      <c r="E244" s="1846"/>
      <c r="F244" s="1851">
        <v>0.05</v>
      </c>
    </row>
    <row r="245" spans="1:6" ht="15" thickBot="1">
      <c r="A245" s="1835" t="s">
        <v>1415</v>
      </c>
      <c r="B245" s="1836" t="s">
        <v>2172</v>
      </c>
      <c r="C245" s="1837">
        <v>0.15</v>
      </c>
      <c r="D245" s="1837">
        <v>0.15</v>
      </c>
      <c r="E245" s="1837">
        <v>0.15</v>
      </c>
      <c r="F245" s="1838">
        <v>0.14299999999999999</v>
      </c>
    </row>
    <row r="246" spans="1:6" ht="15" thickBot="1">
      <c r="A246" s="1835" t="s">
        <v>1415</v>
      </c>
      <c r="B246" s="1839" t="s">
        <v>1078</v>
      </c>
      <c r="C246" s="1840">
        <v>0.15</v>
      </c>
      <c r="D246" s="1840">
        <v>0.15</v>
      </c>
      <c r="E246" s="1840">
        <v>0.15</v>
      </c>
      <c r="F246" s="1841">
        <v>0.114</v>
      </c>
    </row>
    <row r="247" spans="1:6" ht="15" thickBot="1">
      <c r="A247" s="1835" t="s">
        <v>1415</v>
      </c>
      <c r="B247" s="1839" t="s">
        <v>2173</v>
      </c>
      <c r="C247" s="1840">
        <v>0.15</v>
      </c>
      <c r="D247" s="1840">
        <v>0.15</v>
      </c>
      <c r="E247" s="1840">
        <v>0.15</v>
      </c>
      <c r="F247" s="1841">
        <v>0.15</v>
      </c>
    </row>
    <row r="248" spans="1:6" ht="15" thickBot="1">
      <c r="A248" s="1835" t="s">
        <v>1415</v>
      </c>
      <c r="B248" s="1839" t="s">
        <v>2174</v>
      </c>
      <c r="C248" s="1840">
        <v>0.15</v>
      </c>
      <c r="D248" s="1840">
        <v>0.15</v>
      </c>
      <c r="E248" s="1840">
        <v>0.15</v>
      </c>
      <c r="F248" s="1841">
        <v>0.14000000000000001</v>
      </c>
    </row>
    <row r="249" spans="1:6" ht="15" thickBot="1">
      <c r="A249" s="1835" t="s">
        <v>1415</v>
      </c>
      <c r="B249" s="1839" t="s">
        <v>2175</v>
      </c>
      <c r="C249" s="1840">
        <v>0.15</v>
      </c>
      <c r="D249" s="1840">
        <v>0.14899999999999999</v>
      </c>
      <c r="E249" s="1840">
        <v>0.15</v>
      </c>
      <c r="F249" s="1841">
        <v>0.1</v>
      </c>
    </row>
    <row r="250" spans="1:6" ht="15" thickBot="1">
      <c r="A250" s="1835" t="s">
        <v>1415</v>
      </c>
      <c r="B250" s="1839" t="s">
        <v>2176</v>
      </c>
      <c r="C250" s="1840">
        <v>0.15</v>
      </c>
      <c r="D250" s="1840">
        <v>0.15</v>
      </c>
      <c r="E250" s="1840">
        <v>0.15</v>
      </c>
      <c r="F250" s="1841">
        <v>0.14399999999999999</v>
      </c>
    </row>
    <row r="251" spans="1:6" ht="15" thickBot="1">
      <c r="A251" s="1835" t="s">
        <v>1415</v>
      </c>
      <c r="B251" s="1839" t="s">
        <v>1141</v>
      </c>
      <c r="C251" s="1840">
        <v>0.15</v>
      </c>
      <c r="D251" s="1840">
        <v>0.15</v>
      </c>
      <c r="E251" s="1840">
        <v>0.15</v>
      </c>
      <c r="F251" s="1841">
        <v>0.14299999999999999</v>
      </c>
    </row>
    <row r="252" spans="1:6" ht="15" thickBot="1">
      <c r="A252" s="1835" t="s">
        <v>1415</v>
      </c>
      <c r="B252" s="1839" t="s">
        <v>1152</v>
      </c>
      <c r="C252" s="1840">
        <v>0.15</v>
      </c>
      <c r="D252" s="1840">
        <v>0.15</v>
      </c>
      <c r="E252" s="1840">
        <v>0.15</v>
      </c>
      <c r="F252" s="1841">
        <v>0.1</v>
      </c>
    </row>
    <row r="253" spans="1:6" ht="15" thickBot="1">
      <c r="A253" s="1835" t="s">
        <v>1415</v>
      </c>
      <c r="B253" s="1839" t="s">
        <v>1164</v>
      </c>
      <c r="C253" s="1840">
        <v>0.15</v>
      </c>
      <c r="D253" s="1840">
        <v>0.15</v>
      </c>
      <c r="E253" s="1840">
        <v>0.15</v>
      </c>
      <c r="F253" s="1841">
        <v>0.1</v>
      </c>
    </row>
    <row r="254" spans="1:6" ht="15" thickBot="1">
      <c r="A254" s="1835" t="s">
        <v>1415</v>
      </c>
      <c r="B254" s="1839" t="s">
        <v>1174</v>
      </c>
      <c r="C254" s="1849"/>
      <c r="D254" s="1849"/>
      <c r="E254" s="1849"/>
      <c r="F254" s="1841">
        <v>0.15</v>
      </c>
    </row>
    <row r="255" spans="1:6" ht="15" thickBot="1">
      <c r="A255" s="1835" t="s">
        <v>1415</v>
      </c>
      <c r="B255" s="1839" t="s">
        <v>1184</v>
      </c>
      <c r="C255" s="1849"/>
      <c r="D255" s="1849"/>
      <c r="E255" s="1849"/>
      <c r="F255" s="1841">
        <v>0.14299999999999999</v>
      </c>
    </row>
    <row r="256" spans="1:6" ht="15" thickBot="1">
      <c r="A256" s="1835" t="s">
        <v>1415</v>
      </c>
      <c r="B256" s="1839" t="s">
        <v>2177</v>
      </c>
      <c r="C256" s="1840">
        <v>0.14599999999999999</v>
      </c>
      <c r="D256" s="1840">
        <v>0.14699999999999999</v>
      </c>
      <c r="E256" s="1840">
        <v>0.15</v>
      </c>
      <c r="F256" s="1841">
        <v>0.13200000000000001</v>
      </c>
    </row>
    <row r="257" spans="1:6" ht="15" thickBot="1">
      <c r="A257" s="1835" t="s">
        <v>1415</v>
      </c>
      <c r="B257" s="1839" t="s">
        <v>1204</v>
      </c>
      <c r="C257" s="1840">
        <v>0.15</v>
      </c>
      <c r="D257" s="1840">
        <v>0.15</v>
      </c>
      <c r="E257" s="1840">
        <v>0.15</v>
      </c>
      <c r="F257" s="1841">
        <v>0.13900000000000001</v>
      </c>
    </row>
    <row r="258" spans="1:6" ht="15" thickBot="1">
      <c r="A258" s="1835" t="s">
        <v>1415</v>
      </c>
      <c r="B258" s="1839" t="s">
        <v>1214</v>
      </c>
      <c r="C258" s="1840">
        <v>0.15</v>
      </c>
      <c r="D258" s="1840">
        <v>0.15</v>
      </c>
      <c r="E258" s="1840">
        <v>0.15</v>
      </c>
      <c r="F258" s="1841">
        <v>0.13</v>
      </c>
    </row>
    <row r="259" spans="1:6" ht="15" thickBot="1">
      <c r="A259" s="1835" t="s">
        <v>1415</v>
      </c>
      <c r="B259" s="1839" t="s">
        <v>2178</v>
      </c>
      <c r="C259" s="1840">
        <v>0.14799999999999999</v>
      </c>
      <c r="D259" s="1840">
        <v>0.14899999999999999</v>
      </c>
      <c r="E259" s="1840">
        <v>0.15</v>
      </c>
      <c r="F259" s="1841">
        <v>0.13700000000000001</v>
      </c>
    </row>
    <row r="260" spans="1:6" ht="15" thickBot="1">
      <c r="A260" s="1835" t="s">
        <v>1415</v>
      </c>
      <c r="B260" s="1839" t="s">
        <v>1234</v>
      </c>
      <c r="C260" s="1840">
        <v>0.15</v>
      </c>
      <c r="D260" s="1840">
        <v>0.15</v>
      </c>
      <c r="E260" s="1840">
        <v>0.15</v>
      </c>
      <c r="F260" s="1841">
        <v>0.14199999999999999</v>
      </c>
    </row>
    <row r="261" spans="1:6" ht="15" thickBot="1">
      <c r="A261" s="1835" t="s">
        <v>1415</v>
      </c>
      <c r="B261" s="1839" t="s">
        <v>1244</v>
      </c>
      <c r="C261" s="1840">
        <v>0.15</v>
      </c>
      <c r="D261" s="1840">
        <v>0.15</v>
      </c>
      <c r="E261" s="1840">
        <v>0.14899999999999999</v>
      </c>
      <c r="F261" s="1841">
        <v>0.14799999999999999</v>
      </c>
    </row>
    <row r="262" spans="1:6" ht="15" thickBot="1">
      <c r="A262" s="1835" t="s">
        <v>1415</v>
      </c>
      <c r="B262" s="1839" t="s">
        <v>1254</v>
      </c>
      <c r="C262" s="1840">
        <v>0.15</v>
      </c>
      <c r="D262" s="1840">
        <v>0.15</v>
      </c>
      <c r="E262" s="1840">
        <v>0.15</v>
      </c>
      <c r="F262" s="1848"/>
    </row>
    <row r="263" spans="1:6" ht="15" thickBot="1">
      <c r="A263" s="1835" t="s">
        <v>1415</v>
      </c>
      <c r="B263" s="1839" t="s">
        <v>2179</v>
      </c>
      <c r="C263" s="1840">
        <v>0.14899999999999999</v>
      </c>
      <c r="D263" s="1840">
        <v>0.14899999999999999</v>
      </c>
      <c r="E263" s="1840">
        <v>0.15</v>
      </c>
      <c r="F263" s="1841">
        <v>0.13</v>
      </c>
    </row>
    <row r="264" spans="1:6" ht="15" thickBot="1">
      <c r="A264" s="1835" t="s">
        <v>1415</v>
      </c>
      <c r="B264" s="1839" t="s">
        <v>1273</v>
      </c>
      <c r="C264" s="1840">
        <v>0.14799999999999999</v>
      </c>
      <c r="D264" s="1840">
        <v>0.14699999999999999</v>
      </c>
      <c r="E264" s="1840">
        <v>0.15</v>
      </c>
      <c r="F264" s="1841">
        <v>7.8E-2</v>
      </c>
    </row>
    <row r="265" spans="1:6" ht="15" thickBot="1">
      <c r="A265" s="1835" t="s">
        <v>1415</v>
      </c>
      <c r="B265" s="1839" t="s">
        <v>1282</v>
      </c>
      <c r="C265" s="1840">
        <v>0.15</v>
      </c>
      <c r="D265" s="1840">
        <v>0.15</v>
      </c>
      <c r="E265" s="1840">
        <v>0.15</v>
      </c>
      <c r="F265" s="1841">
        <v>7.3999999999999996E-2</v>
      </c>
    </row>
    <row r="266" spans="1:6" ht="15" thickBot="1">
      <c r="A266" s="1835" t="s">
        <v>1415</v>
      </c>
      <c r="B266" s="1839" t="s">
        <v>1290</v>
      </c>
      <c r="C266" s="1840">
        <v>0.14699999999999999</v>
      </c>
      <c r="D266" s="1840">
        <v>0.14699999999999999</v>
      </c>
      <c r="E266" s="1840">
        <v>0.15</v>
      </c>
      <c r="F266" s="1841">
        <v>0.14299999999999999</v>
      </c>
    </row>
    <row r="267" spans="1:6" ht="15" thickBot="1">
      <c r="A267" s="1835" t="s">
        <v>1415</v>
      </c>
      <c r="B267" s="1839" t="s">
        <v>1297</v>
      </c>
      <c r="C267" s="1840">
        <v>0.14199999999999999</v>
      </c>
      <c r="D267" s="1840">
        <v>0.14299999999999999</v>
      </c>
      <c r="E267" s="1840">
        <v>0.15</v>
      </c>
      <c r="F267" s="1848"/>
    </row>
    <row r="268" spans="1:6" ht="15" thickBot="1">
      <c r="A268" s="1835" t="s">
        <v>1415</v>
      </c>
      <c r="B268" s="1839" t="s">
        <v>2180</v>
      </c>
      <c r="C268" s="1840">
        <v>0.15</v>
      </c>
      <c r="D268" s="1840">
        <v>0.15</v>
      </c>
      <c r="E268" s="1840">
        <v>0.15</v>
      </c>
      <c r="F268" s="1841">
        <v>0.13</v>
      </c>
    </row>
    <row r="269" spans="1:6" ht="15" thickBot="1">
      <c r="A269" s="1835" t="s">
        <v>1415</v>
      </c>
      <c r="B269" s="1839" t="s">
        <v>1311</v>
      </c>
      <c r="C269" s="1840">
        <v>0.15</v>
      </c>
      <c r="D269" s="1840">
        <v>0.15</v>
      </c>
      <c r="E269" s="1840">
        <v>0.15</v>
      </c>
      <c r="F269" s="1841">
        <v>0.14299999999999999</v>
      </c>
    </row>
    <row r="270" spans="1:6" ht="15" thickBot="1">
      <c r="A270" s="1835" t="s">
        <v>1415</v>
      </c>
      <c r="B270" s="1839" t="s">
        <v>1318</v>
      </c>
      <c r="C270" s="1840">
        <v>0.14499999999999999</v>
      </c>
      <c r="D270" s="1840">
        <v>0.14499999999999999</v>
      </c>
      <c r="E270" s="1840">
        <v>0.15</v>
      </c>
      <c r="F270" s="1841">
        <v>0.14699999999999999</v>
      </c>
    </row>
    <row r="271" spans="1:6" ht="15" thickBot="1">
      <c r="A271" s="1835" t="s">
        <v>1415</v>
      </c>
      <c r="B271" s="1839" t="s">
        <v>1325</v>
      </c>
      <c r="C271" s="1840">
        <v>0.15</v>
      </c>
      <c r="D271" s="1840">
        <v>0.15</v>
      </c>
      <c r="E271" s="1840">
        <v>0.15</v>
      </c>
      <c r="F271" s="1841">
        <v>0.13800000000000001</v>
      </c>
    </row>
    <row r="272" spans="1:6" ht="15" thickBot="1">
      <c r="A272" s="1835" t="s">
        <v>1415</v>
      </c>
      <c r="B272" s="1839" t="s">
        <v>1332</v>
      </c>
      <c r="C272" s="1849"/>
      <c r="D272" s="1849"/>
      <c r="E272" s="1849"/>
      <c r="F272" s="1841">
        <v>0.14000000000000001</v>
      </c>
    </row>
    <row r="273" spans="1:6" ht="15" thickBot="1">
      <c r="A273" s="1835" t="s">
        <v>1415</v>
      </c>
      <c r="B273" s="1839" t="s">
        <v>2181</v>
      </c>
      <c r="C273" s="1840">
        <v>0.14199999999999999</v>
      </c>
      <c r="D273" s="1840">
        <v>0.14299999999999999</v>
      </c>
      <c r="E273" s="1840">
        <v>0.15</v>
      </c>
      <c r="F273" s="1841">
        <v>0.1</v>
      </c>
    </row>
    <row r="274" spans="1:6" ht="15" thickBot="1">
      <c r="A274" s="1835" t="s">
        <v>1415</v>
      </c>
      <c r="B274" s="1839" t="s">
        <v>2182</v>
      </c>
      <c r="C274" s="1840">
        <v>0.14799999999999999</v>
      </c>
      <c r="D274" s="1840">
        <v>0.14799999999999999</v>
      </c>
      <c r="E274" s="1840">
        <v>0.15</v>
      </c>
      <c r="F274" s="1841">
        <v>6.7000000000000004E-2</v>
      </c>
    </row>
    <row r="275" spans="1:6" ht="15" thickBot="1">
      <c r="A275" s="1835" t="s">
        <v>1415</v>
      </c>
      <c r="B275" s="1839" t="s">
        <v>2183</v>
      </c>
      <c r="C275" s="1840">
        <v>0.15</v>
      </c>
      <c r="D275" s="1840">
        <v>0.15</v>
      </c>
      <c r="E275" s="1840">
        <v>0.15</v>
      </c>
      <c r="F275" s="1841">
        <v>0.15</v>
      </c>
    </row>
    <row r="276" spans="1:6" ht="15" thickBot="1">
      <c r="A276" s="1835" t="s">
        <v>1415</v>
      </c>
      <c r="B276" s="1839" t="s">
        <v>2184</v>
      </c>
      <c r="C276" s="1840">
        <v>0.14499999999999999</v>
      </c>
      <c r="D276" s="1840">
        <v>0.14299999999999999</v>
      </c>
      <c r="E276" s="1840">
        <v>0.15</v>
      </c>
      <c r="F276" s="1841">
        <v>5.8999999999999997E-2</v>
      </c>
    </row>
    <row r="277" spans="1:6" ht="15" thickBot="1">
      <c r="A277" s="1835" t="s">
        <v>1415</v>
      </c>
      <c r="B277" s="1839" t="s">
        <v>2185</v>
      </c>
      <c r="C277" s="1840">
        <v>0.15</v>
      </c>
      <c r="D277" s="1840">
        <v>0.15</v>
      </c>
      <c r="E277" s="1840">
        <v>0.15</v>
      </c>
      <c r="F277" s="1841">
        <v>0.121</v>
      </c>
    </row>
    <row r="278" spans="1:6" ht="15" thickBot="1">
      <c r="A278" s="1835" t="s">
        <v>1415</v>
      </c>
      <c r="B278" s="1839" t="s">
        <v>2186</v>
      </c>
      <c r="C278" s="1840">
        <v>0.15</v>
      </c>
      <c r="D278" s="1840">
        <v>0.15</v>
      </c>
      <c r="E278" s="1840">
        <v>0.15</v>
      </c>
      <c r="F278" s="1841">
        <v>0.13800000000000001</v>
      </c>
    </row>
    <row r="279" spans="1:6" ht="24.6" thickBot="1">
      <c r="A279" s="1835" t="s">
        <v>1415</v>
      </c>
      <c r="B279" s="1839" t="s">
        <v>2187</v>
      </c>
      <c r="C279" s="1849"/>
      <c r="D279" s="1849"/>
      <c r="E279" s="1849"/>
      <c r="F279" s="1841">
        <v>0.05</v>
      </c>
    </row>
    <row r="280" spans="1:6" ht="24.6" thickBot="1">
      <c r="A280" s="1835" t="s">
        <v>1415</v>
      </c>
      <c r="B280" s="1839" t="s">
        <v>2188</v>
      </c>
      <c r="C280" s="1849"/>
      <c r="D280" s="1849"/>
      <c r="E280" s="1849"/>
      <c r="F280" s="1841">
        <v>0.05</v>
      </c>
    </row>
    <row r="281" spans="1:6" ht="24.6" thickBot="1">
      <c r="A281" s="1835" t="s">
        <v>1415</v>
      </c>
      <c r="B281" s="1839" t="s">
        <v>2189</v>
      </c>
      <c r="C281" s="1849"/>
      <c r="D281" s="1849"/>
      <c r="E281" s="1849"/>
      <c r="F281" s="1841">
        <v>0.05</v>
      </c>
    </row>
    <row r="282" spans="1:6" ht="24.6" thickBot="1">
      <c r="A282" s="1835" t="s">
        <v>1415</v>
      </c>
      <c r="B282" s="1839" t="s">
        <v>2190</v>
      </c>
      <c r="C282" s="1849"/>
      <c r="D282" s="1849"/>
      <c r="E282" s="1849"/>
      <c r="F282" s="1841">
        <v>0.05</v>
      </c>
    </row>
    <row r="283" spans="1:6" ht="24.6" thickBot="1">
      <c r="A283" s="1835" t="s">
        <v>1415</v>
      </c>
      <c r="B283" s="1839" t="s">
        <v>2191</v>
      </c>
      <c r="C283" s="1849"/>
      <c r="D283" s="1849"/>
      <c r="E283" s="1849"/>
      <c r="F283" s="1841">
        <v>0.05</v>
      </c>
    </row>
    <row r="284" spans="1:6" ht="24.6" thickBot="1">
      <c r="A284" s="1835" t="s">
        <v>1415</v>
      </c>
      <c r="B284" s="1839" t="s">
        <v>2192</v>
      </c>
      <c r="C284" s="1849"/>
      <c r="D284" s="1849"/>
      <c r="E284" s="1849"/>
      <c r="F284" s="1841">
        <v>0.05</v>
      </c>
    </row>
    <row r="285" spans="1:6" ht="24.6" thickBot="1">
      <c r="A285" s="1835" t="s">
        <v>1415</v>
      </c>
      <c r="B285" s="1839" t="s">
        <v>2193</v>
      </c>
      <c r="C285" s="1849"/>
      <c r="D285" s="1849"/>
      <c r="E285" s="1849"/>
      <c r="F285" s="1841">
        <v>0.05</v>
      </c>
    </row>
    <row r="286" spans="1:6" ht="24.6" thickBot="1">
      <c r="A286" s="1835" t="s">
        <v>1415</v>
      </c>
      <c r="B286" s="1839" t="s">
        <v>2194</v>
      </c>
      <c r="C286" s="1849"/>
      <c r="D286" s="1849"/>
      <c r="E286" s="1849"/>
      <c r="F286" s="1841">
        <v>0.05</v>
      </c>
    </row>
    <row r="287" spans="1:6" ht="24.6" thickBot="1">
      <c r="A287" s="1835" t="s">
        <v>1415</v>
      </c>
      <c r="B287" s="1839" t="s">
        <v>2195</v>
      </c>
      <c r="C287" s="1849"/>
      <c r="D287" s="1849"/>
      <c r="E287" s="1849"/>
      <c r="F287" s="1841">
        <v>0.05</v>
      </c>
    </row>
    <row r="288" spans="1:6" ht="24.6" thickBot="1">
      <c r="A288" s="1835" t="s">
        <v>1415</v>
      </c>
      <c r="B288" s="1839" t="s">
        <v>2196</v>
      </c>
      <c r="C288" s="1849"/>
      <c r="D288" s="1849"/>
      <c r="E288" s="1849"/>
      <c r="F288" s="1841">
        <v>0.05</v>
      </c>
    </row>
    <row r="289" spans="1:6" ht="24.6" thickBot="1">
      <c r="A289" s="1843" t="s">
        <v>1415</v>
      </c>
      <c r="B289" s="1850" t="s">
        <v>2197</v>
      </c>
      <c r="C289" s="1846"/>
      <c r="D289" s="1846"/>
      <c r="E289" s="1846"/>
      <c r="F289" s="1851">
        <v>0.05</v>
      </c>
    </row>
    <row r="290" spans="1:6" ht="15" thickBot="1">
      <c r="A290" s="1835" t="s">
        <v>1419</v>
      </c>
      <c r="B290" s="1836" t="s">
        <v>2198</v>
      </c>
      <c r="C290" s="1837">
        <v>0.15</v>
      </c>
      <c r="D290" s="1837">
        <v>0.15</v>
      </c>
      <c r="E290" s="1837">
        <v>0.15</v>
      </c>
      <c r="F290" s="1859"/>
    </row>
    <row r="291" spans="1:6" ht="15" thickBot="1">
      <c r="A291" s="1835" t="s">
        <v>1419</v>
      </c>
      <c r="B291" s="1839" t="s">
        <v>1079</v>
      </c>
      <c r="C291" s="1840">
        <v>0.15</v>
      </c>
      <c r="D291" s="1840">
        <v>0.15</v>
      </c>
      <c r="E291" s="1840">
        <v>0.15</v>
      </c>
      <c r="F291" s="1848"/>
    </row>
    <row r="292" spans="1:6" ht="15" thickBot="1">
      <c r="A292" s="1835" t="s">
        <v>1419</v>
      </c>
      <c r="B292" s="1839" t="s">
        <v>2199</v>
      </c>
      <c r="C292" s="1840">
        <v>0.15</v>
      </c>
      <c r="D292" s="1840">
        <v>0.15</v>
      </c>
      <c r="E292" s="1840">
        <v>0.15</v>
      </c>
      <c r="F292" s="1841">
        <v>0.14699999999999999</v>
      </c>
    </row>
    <row r="293" spans="1:6" ht="15" thickBot="1">
      <c r="A293" s="1835" t="s">
        <v>1419</v>
      </c>
      <c r="B293" s="1839" t="s">
        <v>2200</v>
      </c>
      <c r="C293" s="1849"/>
      <c r="D293" s="1849"/>
      <c r="E293" s="1849"/>
      <c r="F293" s="1841">
        <v>0.1</v>
      </c>
    </row>
    <row r="294" spans="1:6" ht="15" thickBot="1">
      <c r="A294" s="1835" t="s">
        <v>1419</v>
      </c>
      <c r="B294" s="1839" t="s">
        <v>2201</v>
      </c>
      <c r="C294" s="1840">
        <v>0.15</v>
      </c>
      <c r="D294" s="1840">
        <v>0.15</v>
      </c>
      <c r="E294" s="1840">
        <v>0.15</v>
      </c>
      <c r="F294" s="1841">
        <v>0.15</v>
      </c>
    </row>
    <row r="295" spans="1:6" ht="15" thickBot="1">
      <c r="A295" s="1835" t="s">
        <v>1419</v>
      </c>
      <c r="B295" s="1839" t="s">
        <v>1120</v>
      </c>
      <c r="C295" s="1840">
        <v>0.15</v>
      </c>
      <c r="D295" s="1840">
        <v>0.15</v>
      </c>
      <c r="E295" s="1840">
        <v>0.15</v>
      </c>
      <c r="F295" s="1841">
        <v>0.15</v>
      </c>
    </row>
    <row r="296" spans="1:6" ht="15" thickBot="1">
      <c r="A296" s="1835" t="s">
        <v>1419</v>
      </c>
      <c r="B296" s="1839" t="s">
        <v>2202</v>
      </c>
      <c r="C296" s="1840">
        <v>0.15</v>
      </c>
      <c r="D296" s="1840">
        <v>0.15</v>
      </c>
      <c r="E296" s="1840">
        <v>0.15</v>
      </c>
      <c r="F296" s="1841">
        <v>0.15</v>
      </c>
    </row>
    <row r="297" spans="1:6" ht="15" thickBot="1">
      <c r="A297" s="1835" t="s">
        <v>1419</v>
      </c>
      <c r="B297" s="1839" t="s">
        <v>2203</v>
      </c>
      <c r="C297" s="1840">
        <v>0.14799999999999999</v>
      </c>
      <c r="D297" s="1840">
        <v>0.14899999999999999</v>
      </c>
      <c r="E297" s="1840">
        <v>0.15</v>
      </c>
      <c r="F297" s="1841">
        <v>0.13700000000000001</v>
      </c>
    </row>
    <row r="298" spans="1:6" ht="15" thickBot="1">
      <c r="A298" s="1835" t="s">
        <v>1419</v>
      </c>
      <c r="B298" s="1839" t="s">
        <v>1153</v>
      </c>
      <c r="C298" s="1840">
        <v>0.13400000000000001</v>
      </c>
      <c r="D298" s="1840">
        <v>0.13400000000000001</v>
      </c>
      <c r="E298" s="1840">
        <v>0.14499999999999999</v>
      </c>
      <c r="F298" s="1841">
        <v>0.14799999999999999</v>
      </c>
    </row>
    <row r="299" spans="1:6" ht="15" thickBot="1">
      <c r="A299" s="1835" t="s">
        <v>1419</v>
      </c>
      <c r="B299" s="1839" t="s">
        <v>1165</v>
      </c>
      <c r="C299" s="1840">
        <v>0.15</v>
      </c>
      <c r="D299" s="1840">
        <v>0.15</v>
      </c>
      <c r="E299" s="1840">
        <v>0.15</v>
      </c>
      <c r="F299" s="1848"/>
    </row>
    <row r="300" spans="1:6" ht="15" thickBot="1">
      <c r="A300" s="1835" t="s">
        <v>1419</v>
      </c>
      <c r="B300" s="1839" t="s">
        <v>2204</v>
      </c>
      <c r="C300" s="1840">
        <v>0.15</v>
      </c>
      <c r="D300" s="1840">
        <v>0.15</v>
      </c>
      <c r="E300" s="1840">
        <v>0.15</v>
      </c>
      <c r="F300" s="1841">
        <v>0.15</v>
      </c>
    </row>
    <row r="301" spans="1:6" ht="15" thickBot="1">
      <c r="A301" s="1835" t="s">
        <v>1419</v>
      </c>
      <c r="B301" s="1839" t="s">
        <v>1185</v>
      </c>
      <c r="C301" s="1840">
        <v>0.15</v>
      </c>
      <c r="D301" s="1840">
        <v>0.15</v>
      </c>
      <c r="E301" s="1840">
        <v>0.15</v>
      </c>
      <c r="F301" s="1848"/>
    </row>
    <row r="302" spans="1:6" ht="15" thickBot="1">
      <c r="A302" s="1835" t="s">
        <v>1419</v>
      </c>
      <c r="B302" s="1839" t="s">
        <v>2205</v>
      </c>
      <c r="C302" s="1840">
        <v>0.15</v>
      </c>
      <c r="D302" s="1840">
        <v>0.15</v>
      </c>
      <c r="E302" s="1840">
        <v>0.15</v>
      </c>
      <c r="F302" s="1841">
        <v>0.15</v>
      </c>
    </row>
    <row r="303" spans="1:6" ht="15" thickBot="1">
      <c r="A303" s="1835" t="s">
        <v>1419</v>
      </c>
      <c r="B303" s="1839" t="s">
        <v>1205</v>
      </c>
      <c r="C303" s="1840">
        <v>0.15</v>
      </c>
      <c r="D303" s="1840">
        <v>0.15</v>
      </c>
      <c r="E303" s="1840">
        <v>0.15</v>
      </c>
      <c r="F303" s="1841">
        <v>0.15</v>
      </c>
    </row>
    <row r="304" spans="1:6" ht="15" thickBot="1">
      <c r="A304" s="1835" t="s">
        <v>1419</v>
      </c>
      <c r="B304" s="1839" t="s">
        <v>1215</v>
      </c>
      <c r="C304" s="1840">
        <v>0.15</v>
      </c>
      <c r="D304" s="1840">
        <v>0.15</v>
      </c>
      <c r="E304" s="1840">
        <v>0.15</v>
      </c>
      <c r="F304" s="1848"/>
    </row>
    <row r="305" spans="1:6" ht="15" thickBot="1">
      <c r="A305" s="1835" t="s">
        <v>1419</v>
      </c>
      <c r="B305" s="1839" t="s">
        <v>2206</v>
      </c>
      <c r="C305" s="1840">
        <v>0.15</v>
      </c>
      <c r="D305" s="1840">
        <v>0.15</v>
      </c>
      <c r="E305" s="1840">
        <v>0.15</v>
      </c>
      <c r="F305" s="1841">
        <v>0.14000000000000001</v>
      </c>
    </row>
    <row r="306" spans="1:6" ht="15" thickBot="1">
      <c r="A306" s="1835" t="s">
        <v>1419</v>
      </c>
      <c r="B306" s="1839" t="s">
        <v>1235</v>
      </c>
      <c r="C306" s="1840">
        <v>0.15</v>
      </c>
      <c r="D306" s="1840">
        <v>0.15</v>
      </c>
      <c r="E306" s="1840">
        <v>0.15</v>
      </c>
      <c r="F306" s="1848"/>
    </row>
    <row r="307" spans="1:6" ht="15" thickBot="1">
      <c r="A307" s="1835" t="s">
        <v>1419</v>
      </c>
      <c r="B307" s="1839" t="s">
        <v>2207</v>
      </c>
      <c r="C307" s="1840">
        <v>0.15</v>
      </c>
      <c r="D307" s="1840">
        <v>0.15</v>
      </c>
      <c r="E307" s="1840">
        <v>0.15</v>
      </c>
      <c r="F307" s="1841">
        <v>0.14299999999999999</v>
      </c>
    </row>
    <row r="308" spans="1:6" ht="15" thickBot="1">
      <c r="A308" s="1835" t="s">
        <v>1419</v>
      </c>
      <c r="B308" s="1839" t="s">
        <v>1255</v>
      </c>
      <c r="C308" s="1840">
        <v>0.15</v>
      </c>
      <c r="D308" s="1840">
        <v>0.15</v>
      </c>
      <c r="E308" s="1840">
        <v>0.15</v>
      </c>
      <c r="F308" s="1841">
        <v>0.15</v>
      </c>
    </row>
    <row r="309" spans="1:6" ht="15" thickBot="1">
      <c r="A309" s="1835" t="s">
        <v>1419</v>
      </c>
      <c r="B309" s="1839" t="s">
        <v>1265</v>
      </c>
      <c r="C309" s="1840">
        <v>0.15</v>
      </c>
      <c r="D309" s="1840">
        <v>0.15</v>
      </c>
      <c r="E309" s="1840">
        <v>0.15</v>
      </c>
      <c r="F309" s="1848"/>
    </row>
    <row r="310" spans="1:6" ht="15" thickBot="1">
      <c r="A310" s="1835" t="s">
        <v>1419</v>
      </c>
      <c r="B310" s="1839" t="s">
        <v>2208</v>
      </c>
      <c r="C310" s="1840">
        <v>0.15</v>
      </c>
      <c r="D310" s="1840">
        <v>0.15</v>
      </c>
      <c r="E310" s="1840">
        <v>0.15</v>
      </c>
      <c r="F310" s="1841">
        <v>0.13700000000000001</v>
      </c>
    </row>
    <row r="311" spans="1:6" ht="15" thickBot="1">
      <c r="A311" s="1835" t="s">
        <v>1419</v>
      </c>
      <c r="B311" s="1839" t="s">
        <v>2209</v>
      </c>
      <c r="C311" s="1840">
        <v>0.15</v>
      </c>
      <c r="D311" s="1840">
        <v>0.15</v>
      </c>
      <c r="E311" s="1840">
        <v>0.15</v>
      </c>
      <c r="F311" s="1841">
        <v>0.15</v>
      </c>
    </row>
    <row r="312" spans="1:6" ht="15" thickBot="1">
      <c r="A312" s="1835" t="s">
        <v>1419</v>
      </c>
      <c r="B312" s="1839" t="s">
        <v>1291</v>
      </c>
      <c r="C312" s="1840">
        <v>0.15</v>
      </c>
      <c r="D312" s="1840">
        <v>0.15</v>
      </c>
      <c r="E312" s="1840">
        <v>0.15</v>
      </c>
      <c r="F312" s="1841">
        <v>0.1</v>
      </c>
    </row>
    <row r="313" spans="1:6" ht="15" thickBot="1">
      <c r="A313" s="1835" t="s">
        <v>1419</v>
      </c>
      <c r="B313" s="1839" t="s">
        <v>2210</v>
      </c>
      <c r="C313" s="1840">
        <v>0.15</v>
      </c>
      <c r="D313" s="1840">
        <v>0.15</v>
      </c>
      <c r="E313" s="1840">
        <v>0.15</v>
      </c>
      <c r="F313" s="1841">
        <v>0.15</v>
      </c>
    </row>
    <row r="314" spans="1:6" ht="24.6" thickBot="1">
      <c r="A314" s="1835" t="s">
        <v>1419</v>
      </c>
      <c r="B314" s="1839" t="s">
        <v>2211</v>
      </c>
      <c r="C314" s="1849"/>
      <c r="D314" s="1849"/>
      <c r="E314" s="1849"/>
      <c r="F314" s="1841">
        <v>0.05</v>
      </c>
    </row>
    <row r="315" spans="1:6" ht="24.6" thickBot="1">
      <c r="A315" s="1835" t="s">
        <v>1419</v>
      </c>
      <c r="B315" s="1839" t="s">
        <v>2212</v>
      </c>
      <c r="C315" s="1849"/>
      <c r="D315" s="1849"/>
      <c r="E315" s="1849"/>
      <c r="F315" s="1841">
        <v>0.05</v>
      </c>
    </row>
    <row r="316" spans="1:6" ht="24.6" thickBot="1">
      <c r="A316" s="1843" t="s">
        <v>1419</v>
      </c>
      <c r="B316" s="1850" t="s">
        <v>2213</v>
      </c>
      <c r="C316" s="1846"/>
      <c r="D316" s="1846"/>
      <c r="E316" s="1846"/>
      <c r="F316" s="1851">
        <v>0.05</v>
      </c>
    </row>
    <row r="317" spans="1:6" ht="15" thickBot="1">
      <c r="A317" s="1835" t="s">
        <v>2214</v>
      </c>
      <c r="B317" s="1836" t="s">
        <v>2215</v>
      </c>
      <c r="C317" s="1837">
        <v>0.15</v>
      </c>
      <c r="D317" s="1837">
        <v>0.15</v>
      </c>
      <c r="E317" s="1837">
        <v>0.15</v>
      </c>
      <c r="F317" s="1838">
        <v>0.15</v>
      </c>
    </row>
    <row r="318" spans="1:6" ht="15" thickBot="1">
      <c r="A318" s="1835" t="s">
        <v>2214</v>
      </c>
      <c r="B318" s="1839" t="s">
        <v>2216</v>
      </c>
      <c r="C318" s="1840">
        <v>0.107</v>
      </c>
      <c r="D318" s="1840">
        <v>0.11</v>
      </c>
      <c r="E318" s="1840">
        <v>0.112</v>
      </c>
      <c r="F318" s="1848"/>
    </row>
    <row r="319" spans="1:6" ht="15" thickBot="1">
      <c r="A319" s="1835" t="s">
        <v>2214</v>
      </c>
      <c r="B319" s="1839" t="s">
        <v>2217</v>
      </c>
      <c r="C319" s="1840">
        <v>0.15</v>
      </c>
      <c r="D319" s="1840">
        <v>0.15</v>
      </c>
      <c r="E319" s="1840">
        <v>0.15</v>
      </c>
      <c r="F319" s="1841">
        <v>0.15</v>
      </c>
    </row>
    <row r="320" spans="1:6" ht="15" thickBot="1">
      <c r="A320" s="1835" t="s">
        <v>2214</v>
      </c>
      <c r="B320" s="1839" t="s">
        <v>1107</v>
      </c>
      <c r="C320" s="1840">
        <v>0.15</v>
      </c>
      <c r="D320" s="1840">
        <v>0.15</v>
      </c>
      <c r="E320" s="1840">
        <v>0.15</v>
      </c>
      <c r="F320" s="1848"/>
    </row>
    <row r="321" spans="1:6" ht="15" thickBot="1">
      <c r="A321" s="1835" t="s">
        <v>2214</v>
      </c>
      <c r="B321" s="1839" t="s">
        <v>2218</v>
      </c>
      <c r="C321" s="1840">
        <v>0.15</v>
      </c>
      <c r="D321" s="1840">
        <v>0.15</v>
      </c>
      <c r="E321" s="1840">
        <v>0.15</v>
      </c>
      <c r="F321" s="1848"/>
    </row>
    <row r="322" spans="1:6" ht="15" thickBot="1">
      <c r="A322" s="1835" t="s">
        <v>2214</v>
      </c>
      <c r="B322" s="1839" t="s">
        <v>2219</v>
      </c>
      <c r="C322" s="1840">
        <v>0.15</v>
      </c>
      <c r="D322" s="1840">
        <v>0.15</v>
      </c>
      <c r="E322" s="1840">
        <v>0.15</v>
      </c>
      <c r="F322" s="1841">
        <v>0.15</v>
      </c>
    </row>
    <row r="323" spans="1:6" ht="15" thickBot="1">
      <c r="A323" s="1835" t="s">
        <v>2214</v>
      </c>
      <c r="B323" s="1839" t="s">
        <v>2220</v>
      </c>
      <c r="C323" s="1840">
        <v>0.15</v>
      </c>
      <c r="D323" s="1840">
        <v>0.15</v>
      </c>
      <c r="E323" s="1840">
        <v>0.15</v>
      </c>
      <c r="F323" s="1848"/>
    </row>
    <row r="324" spans="1:6" ht="15" thickBot="1">
      <c r="A324" s="1835" t="s">
        <v>2214</v>
      </c>
      <c r="B324" s="1839" t="s">
        <v>2221</v>
      </c>
      <c r="C324" s="1840">
        <v>0.15</v>
      </c>
      <c r="D324" s="1840">
        <v>0.15</v>
      </c>
      <c r="E324" s="1840">
        <v>0.15</v>
      </c>
      <c r="F324" s="1848"/>
    </row>
    <row r="325" spans="1:6" ht="15" thickBot="1">
      <c r="A325" s="1835" t="s">
        <v>2214</v>
      </c>
      <c r="B325" s="1839" t="s">
        <v>2222</v>
      </c>
      <c r="C325" s="1840">
        <v>0.15</v>
      </c>
      <c r="D325" s="1840">
        <v>0.15</v>
      </c>
      <c r="E325" s="1840">
        <v>0.15</v>
      </c>
      <c r="F325" s="1841">
        <v>0.14699999999999999</v>
      </c>
    </row>
    <row r="326" spans="1:6" ht="15" thickBot="1">
      <c r="A326" s="1835" t="s">
        <v>2214</v>
      </c>
      <c r="B326" s="1839" t="s">
        <v>1176</v>
      </c>
      <c r="C326" s="1840">
        <v>0.15</v>
      </c>
      <c r="D326" s="1840">
        <v>0.15</v>
      </c>
      <c r="E326" s="1840">
        <v>0.15</v>
      </c>
      <c r="F326" s="1848"/>
    </row>
    <row r="327" spans="1:6" ht="15" thickBot="1">
      <c r="A327" s="1835" t="s">
        <v>2214</v>
      </c>
      <c r="B327" s="1839" t="s">
        <v>2223</v>
      </c>
      <c r="C327" s="1840">
        <v>0.15</v>
      </c>
      <c r="D327" s="1840">
        <v>0.15</v>
      </c>
      <c r="E327" s="1840">
        <v>0.15</v>
      </c>
      <c r="F327" s="1841">
        <v>0.15</v>
      </c>
    </row>
    <row r="328" spans="1:6" ht="15" thickBot="1">
      <c r="A328" s="1835" t="s">
        <v>2214</v>
      </c>
      <c r="B328" s="1839" t="s">
        <v>1196</v>
      </c>
      <c r="C328" s="1840">
        <v>0.15</v>
      </c>
      <c r="D328" s="1840">
        <v>0.15</v>
      </c>
      <c r="E328" s="1840">
        <v>0.15</v>
      </c>
      <c r="F328" s="1841">
        <v>0.14099999999999999</v>
      </c>
    </row>
    <row r="329" spans="1:6" ht="15" thickBot="1">
      <c r="A329" s="1835" t="s">
        <v>2214</v>
      </c>
      <c r="B329" s="1839" t="s">
        <v>1206</v>
      </c>
      <c r="C329" s="1840">
        <v>0.15</v>
      </c>
      <c r="D329" s="1840">
        <v>0.15</v>
      </c>
      <c r="E329" s="1840">
        <v>0.15</v>
      </c>
      <c r="F329" s="1841">
        <v>0.15</v>
      </c>
    </row>
    <row r="330" spans="1:6" ht="15" thickBot="1">
      <c r="A330" s="1835" t="s">
        <v>2214</v>
      </c>
      <c r="B330" s="1839" t="s">
        <v>1216</v>
      </c>
      <c r="C330" s="1840">
        <v>0.15</v>
      </c>
      <c r="D330" s="1840">
        <v>0.15</v>
      </c>
      <c r="E330" s="1840">
        <v>0.15</v>
      </c>
      <c r="F330" s="1848"/>
    </row>
    <row r="331" spans="1:6" ht="15" thickBot="1">
      <c r="A331" s="1835" t="s">
        <v>2214</v>
      </c>
      <c r="B331" s="1839" t="s">
        <v>2224</v>
      </c>
      <c r="C331" s="1840">
        <v>0.15</v>
      </c>
      <c r="D331" s="1840">
        <v>0.15</v>
      </c>
      <c r="E331" s="1840">
        <v>0.15</v>
      </c>
      <c r="F331" s="1841">
        <v>0.15</v>
      </c>
    </row>
    <row r="332" spans="1:6" ht="15" thickBot="1">
      <c r="A332" s="1835" t="s">
        <v>2214</v>
      </c>
      <c r="B332" s="1839" t="s">
        <v>1236</v>
      </c>
      <c r="C332" s="1840">
        <v>0.15</v>
      </c>
      <c r="D332" s="1840">
        <v>0.15</v>
      </c>
      <c r="E332" s="1840">
        <v>0.15</v>
      </c>
      <c r="F332" s="1841">
        <v>0.15</v>
      </c>
    </row>
    <row r="333" spans="1:6" ht="15" thickBot="1">
      <c r="A333" s="1835" t="s">
        <v>2214</v>
      </c>
      <c r="B333" s="1839" t="s">
        <v>2225</v>
      </c>
      <c r="C333" s="1840">
        <v>0.15</v>
      </c>
      <c r="D333" s="1840">
        <v>0.15</v>
      </c>
      <c r="E333" s="1840">
        <v>0.15</v>
      </c>
      <c r="F333" s="1841">
        <v>0.14099999999999999</v>
      </c>
    </row>
    <row r="334" spans="1:6" ht="15" thickBot="1">
      <c r="A334" s="1835" t="s">
        <v>2214</v>
      </c>
      <c r="B334" s="1839" t="s">
        <v>1256</v>
      </c>
      <c r="C334" s="1840">
        <v>0.15</v>
      </c>
      <c r="D334" s="1840">
        <v>0.15</v>
      </c>
      <c r="E334" s="1840">
        <v>0.15</v>
      </c>
      <c r="F334" s="1841">
        <v>0.15</v>
      </c>
    </row>
    <row r="335" spans="1:6" ht="15" thickBot="1">
      <c r="A335" s="1835" t="s">
        <v>2214</v>
      </c>
      <c r="B335" s="1839" t="s">
        <v>1266</v>
      </c>
      <c r="C335" s="1840">
        <v>0.15</v>
      </c>
      <c r="D335" s="1840">
        <v>0.15</v>
      </c>
      <c r="E335" s="1840">
        <v>0.15</v>
      </c>
      <c r="F335" s="1848"/>
    </row>
    <row r="336" spans="1:6" ht="15" thickBot="1">
      <c r="A336" s="1835" t="s">
        <v>2214</v>
      </c>
      <c r="B336" s="1839" t="s">
        <v>2226</v>
      </c>
      <c r="C336" s="1840">
        <v>0.15</v>
      </c>
      <c r="D336" s="1840">
        <v>0.15</v>
      </c>
      <c r="E336" s="1840">
        <v>0.15</v>
      </c>
      <c r="F336" s="1841">
        <v>0.11799999999999999</v>
      </c>
    </row>
    <row r="337" spans="1:6" ht="15" thickBot="1">
      <c r="A337" s="1843" t="s">
        <v>2214</v>
      </c>
      <c r="B337" s="1850" t="s">
        <v>1284</v>
      </c>
      <c r="C337" s="1846"/>
      <c r="D337" s="1846"/>
      <c r="E337" s="1846"/>
      <c r="F337" s="1851">
        <v>0.14299999999999999</v>
      </c>
    </row>
    <row r="338" spans="1:6" ht="15" thickBot="1">
      <c r="A338" s="1835" t="s">
        <v>2227</v>
      </c>
      <c r="B338" s="1836" t="s">
        <v>2228</v>
      </c>
      <c r="C338" s="1837">
        <v>0.15</v>
      </c>
      <c r="D338" s="1837">
        <v>0.15</v>
      </c>
      <c r="E338" s="1837">
        <v>0.15</v>
      </c>
      <c r="F338" s="1859"/>
    </row>
    <row r="339" spans="1:6" ht="15" thickBot="1">
      <c r="A339" s="1835" t="s">
        <v>2227</v>
      </c>
      <c r="B339" s="1839" t="s">
        <v>2229</v>
      </c>
      <c r="C339" s="1840">
        <v>0.15</v>
      </c>
      <c r="D339" s="1840">
        <v>0.15</v>
      </c>
      <c r="E339" s="1840">
        <v>0.15</v>
      </c>
      <c r="F339" s="1848"/>
    </row>
    <row r="340" spans="1:6" ht="15" thickBot="1">
      <c r="A340" s="1835" t="s">
        <v>2227</v>
      </c>
      <c r="B340" s="1839" t="s">
        <v>2230</v>
      </c>
      <c r="C340" s="1840">
        <v>0.15</v>
      </c>
      <c r="D340" s="1840">
        <v>0.15</v>
      </c>
      <c r="E340" s="1840">
        <v>0.15</v>
      </c>
      <c r="F340" s="1848"/>
    </row>
    <row r="341" spans="1:6" ht="15" thickBot="1">
      <c r="A341" s="1835" t="s">
        <v>2231</v>
      </c>
      <c r="B341" s="1839" t="s">
        <v>2232</v>
      </c>
      <c r="C341" s="1840">
        <v>0.15</v>
      </c>
      <c r="D341" s="1840">
        <v>0.15</v>
      </c>
      <c r="E341" s="1840">
        <v>0.15</v>
      </c>
      <c r="F341" s="1841">
        <v>0.15</v>
      </c>
    </row>
    <row r="342" spans="1:6" ht="15" thickBot="1">
      <c r="A342" s="1835" t="s">
        <v>2227</v>
      </c>
      <c r="B342" s="1839" t="s">
        <v>2233</v>
      </c>
      <c r="C342" s="1840">
        <v>0.15</v>
      </c>
      <c r="D342" s="1840">
        <v>0.15</v>
      </c>
      <c r="E342" s="1840">
        <v>0.15</v>
      </c>
      <c r="F342" s="1841">
        <v>0.15</v>
      </c>
    </row>
    <row r="343" spans="1:6" ht="15" thickBot="1">
      <c r="A343" s="1835" t="s">
        <v>2227</v>
      </c>
      <c r="B343" s="1839" t="s">
        <v>2234</v>
      </c>
      <c r="C343" s="1840">
        <v>0.15</v>
      </c>
      <c r="D343" s="1840">
        <v>0.15</v>
      </c>
      <c r="E343" s="1840">
        <v>0.15</v>
      </c>
      <c r="F343" s="1841">
        <v>0.15</v>
      </c>
    </row>
    <row r="344" spans="1:6" ht="15" thickBot="1">
      <c r="A344" s="1843" t="s">
        <v>2227</v>
      </c>
      <c r="B344" s="1850" t="s">
        <v>2235</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3.8"/>
  <cols>
    <col min="1" max="1" width="10.44140625" style="1329" customWidth="1"/>
    <col min="2" max="2" width="15.77734375" style="1329" customWidth="1"/>
    <col min="3" max="3" width="24.66406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5.8867187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2582" t="s">
        <v>719</v>
      </c>
      <c r="C1" s="2583" t="s">
        <v>720</v>
      </c>
      <c r="D1" s="2584" t="s">
        <v>2993</v>
      </c>
      <c r="E1" s="2585"/>
      <c r="F1" s="2757" t="s">
        <v>3101</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1" t="e">
        <f>ROUND(B3*D3/10000,0)</f>
        <v>#DIV/0!</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4.4">
      <c r="A4" s="509" t="s">
        <v>521</v>
      </c>
      <c r="B4" s="510"/>
      <c r="C4" s="3568" t="s">
        <v>522</v>
      </c>
      <c r="D4" s="3569"/>
      <c r="E4" s="3603" t="s">
        <v>523</v>
      </c>
      <c r="F4" s="3604"/>
      <c r="G4" s="3568" t="s">
        <v>524</v>
      </c>
      <c r="H4" s="3569"/>
      <c r="I4" s="3568" t="s">
        <v>525</v>
      </c>
      <c r="J4" s="3569"/>
      <c r="K4" s="850" t="s">
        <v>526</v>
      </c>
      <c r="L4" s="2113"/>
      <c r="M4" s="2114"/>
      <c r="N4" s="2114"/>
      <c r="O4" s="2114"/>
      <c r="P4" s="3570" t="s">
        <v>527</v>
      </c>
      <c r="Q4" s="3571"/>
      <c r="R4" s="3576" t="s">
        <v>523</v>
      </c>
      <c r="S4" s="3577"/>
      <c r="T4" s="3576" t="s">
        <v>524</v>
      </c>
      <c r="U4" s="3577"/>
      <c r="V4" s="3563" t="s">
        <v>525</v>
      </c>
      <c r="W4" s="3563"/>
      <c r="X4" s="1548"/>
      <c r="Y4" s="3576" t="s">
        <v>527</v>
      </c>
      <c r="Z4" s="3577"/>
      <c r="AA4" s="3565" t="s">
        <v>523</v>
      </c>
      <c r="AB4" s="3565" t="s">
        <v>524</v>
      </c>
      <c r="AC4" s="3565" t="s">
        <v>525</v>
      </c>
    </row>
    <row r="5" spans="1:29">
      <c r="A5" s="512"/>
      <c r="B5" s="513"/>
      <c r="C5" s="3584" t="s">
        <v>2922</v>
      </c>
      <c r="D5" s="3585"/>
      <c r="E5" s="3642" t="s">
        <v>3226</v>
      </c>
      <c r="F5" s="3606"/>
      <c r="G5" s="3641" t="s">
        <v>3100</v>
      </c>
      <c r="H5" s="3585"/>
      <c r="I5" s="3641" t="s">
        <v>3104</v>
      </c>
      <c r="J5" s="3585"/>
      <c r="K5" s="851"/>
      <c r="L5" s="2113"/>
      <c r="M5" s="2114"/>
      <c r="N5" s="2114"/>
      <c r="O5" s="2114"/>
      <c r="P5" s="3572"/>
      <c r="Q5" s="3573"/>
      <c r="R5" s="3578"/>
      <c r="S5" s="3579"/>
      <c r="T5" s="3578"/>
      <c r="U5" s="3579"/>
      <c r="V5" s="3563"/>
      <c r="W5" s="3563"/>
      <c r="X5" s="1548"/>
      <c r="Y5" s="3578"/>
      <c r="Z5" s="3579"/>
      <c r="AA5" s="3566"/>
      <c r="AB5" s="3566"/>
      <c r="AC5" s="3566"/>
    </row>
    <row r="6" spans="1:29" ht="15" thickBot="1">
      <c r="A6" s="514"/>
      <c r="B6" s="515"/>
      <c r="C6" s="3582" t="s">
        <v>2926</v>
      </c>
      <c r="D6" s="3583"/>
      <c r="E6" s="3601" t="s">
        <v>2926</v>
      </c>
      <c r="F6" s="3602"/>
      <c r="G6" s="3582" t="s">
        <v>2926</v>
      </c>
      <c r="H6" s="3583"/>
      <c r="I6" s="3582" t="s">
        <v>2926</v>
      </c>
      <c r="J6" s="3583"/>
      <c r="K6" s="851" t="s">
        <v>528</v>
      </c>
      <c r="L6" s="2113"/>
      <c r="M6" s="2114"/>
      <c r="N6" s="2114"/>
      <c r="O6" s="2114"/>
      <c r="P6" s="3574"/>
      <c r="Q6" s="3575"/>
      <c r="R6" s="3578"/>
      <c r="S6" s="3579"/>
      <c r="T6" s="3580"/>
      <c r="U6" s="3581"/>
      <c r="V6" s="3563"/>
      <c r="W6" s="3563"/>
      <c r="X6" s="1548"/>
      <c r="Y6" s="3580"/>
      <c r="Z6" s="3581"/>
      <c r="AA6" s="3567"/>
      <c r="AB6" s="3567"/>
      <c r="AC6" s="3567"/>
    </row>
    <row r="7" spans="1:29" s="1212" customFormat="1" ht="15" thickBot="1">
      <c r="A7" s="2861"/>
      <c r="B7" s="2868" t="s">
        <v>529</v>
      </c>
      <c r="C7" s="516">
        <f>'数据-取费表'!B2</f>
        <v>44027</v>
      </c>
      <c r="D7" s="517">
        <v>100</v>
      </c>
      <c r="E7" s="518">
        <v>43922</v>
      </c>
      <c r="F7" s="519">
        <f>SUMIF(58:58,YEAR(E7)&amp;"-"&amp;MONTH(E7),59:59)</f>
        <v>0</v>
      </c>
      <c r="G7" s="520">
        <v>43922</v>
      </c>
      <c r="H7" s="517">
        <f>SUMIF(58:58,YEAR(G7)&amp;"-"&amp;MONTH(G7),59:59)</f>
        <v>0</v>
      </c>
      <c r="I7" s="520">
        <v>43938</v>
      </c>
      <c r="J7" s="517">
        <f>SUMIF(58:58,YEAR(I7)&amp;"-"&amp;MONTH(I7),59:59)</f>
        <v>0</v>
      </c>
      <c r="K7" s="852"/>
      <c r="L7" s="2115"/>
      <c r="M7" s="2116"/>
      <c r="N7" s="2116"/>
      <c r="O7" s="2116"/>
      <c r="P7" s="3594" t="s">
        <v>530</v>
      </c>
      <c r="Q7" s="3596"/>
      <c r="R7" s="1549" t="s">
        <v>13</v>
      </c>
      <c r="S7" s="1550">
        <f t="shared" ref="S7:S15" si="0">F7</f>
        <v>0</v>
      </c>
      <c r="T7" s="1549" t="s">
        <v>13</v>
      </c>
      <c r="U7" s="1550">
        <f t="shared" ref="U7:U15" si="1">H7</f>
        <v>0</v>
      </c>
      <c r="V7" s="1549" t="s">
        <v>13</v>
      </c>
      <c r="W7" s="1550">
        <f t="shared" ref="W7:W15"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853" t="s">
        <v>3053</v>
      </c>
      <c r="F8" s="519">
        <f>SUMIF(61:61,E8,62:62)-SUMIF(61:61,C8,62:62)+100</f>
        <v>100</v>
      </c>
      <c r="G8" s="853" t="s">
        <v>3053</v>
      </c>
      <c r="H8" s="517">
        <f>SUMIF(61:61,G8,62:62)-SUMIF(61:61,C8,62:62)+100</f>
        <v>100</v>
      </c>
      <c r="I8" s="853" t="s">
        <v>3053</v>
      </c>
      <c r="J8" s="517">
        <f>SUMIF(61:61,I8,62:62)-SUMIF(61:61,C8,62:62)+100</f>
        <v>100</v>
      </c>
      <c r="K8" s="852"/>
      <c r="L8" s="2115"/>
      <c r="M8" s="2116"/>
      <c r="N8" s="2116"/>
      <c r="O8" s="2116"/>
      <c r="P8" s="3594" t="s">
        <v>533</v>
      </c>
      <c r="Q8" s="3595"/>
      <c r="R8" s="1549" t="s">
        <v>13</v>
      </c>
      <c r="S8" s="1550">
        <f t="shared" si="0"/>
        <v>100</v>
      </c>
      <c r="T8" s="1549" t="s">
        <v>13</v>
      </c>
      <c r="U8" s="1550">
        <f t="shared" si="1"/>
        <v>100</v>
      </c>
      <c r="V8" s="1549" t="s">
        <v>13</v>
      </c>
      <c r="W8" s="1550">
        <f t="shared" si="2"/>
        <v>100</v>
      </c>
      <c r="X8" s="1551"/>
      <c r="Y8" s="3594" t="s">
        <v>533</v>
      </c>
      <c r="Z8" s="3595"/>
      <c r="AA8" s="1552">
        <f t="shared" ref="AA8:AA46" si="3">D8/F8</f>
        <v>1</v>
      </c>
      <c r="AB8" s="1552">
        <f t="shared" ref="AB8:AB46" si="4">D8/H8</f>
        <v>1</v>
      </c>
      <c r="AC8" s="1552">
        <f t="shared" ref="AC8:AC46" si="5">D8/J8</f>
        <v>1</v>
      </c>
    </row>
    <row r="9" spans="1:29" s="1212" customFormat="1" ht="14.4">
      <c r="A9" s="2863"/>
      <c r="B9" s="2870" t="s">
        <v>2752</v>
      </c>
      <c r="C9" s="3201" t="s">
        <v>3085</v>
      </c>
      <c r="D9" s="251">
        <v>100</v>
      </c>
      <c r="E9" s="855" t="s">
        <v>923</v>
      </c>
      <c r="F9" s="856">
        <f>SUMIF(63:63,E9,64:64)-SUMIF(63:63,C9,64:64)+100</f>
        <v>100</v>
      </c>
      <c r="G9" s="855" t="s">
        <v>923</v>
      </c>
      <c r="H9" s="251">
        <f>SUMIF(63:63,G9,64:64)-SUMIF(63:63,C9,64:64)+100</f>
        <v>100</v>
      </c>
      <c r="I9" s="855" t="s">
        <v>923</v>
      </c>
      <c r="J9" s="251">
        <f>SUMIF(63:63,I9,64:64)-SUMIF(63:63,C9,64:64)+100</f>
        <v>100</v>
      </c>
      <c r="K9" s="852"/>
      <c r="L9" s="2115"/>
      <c r="M9" s="2116"/>
      <c r="N9" s="2116"/>
      <c r="O9" s="2117"/>
      <c r="P9" s="3562" t="s">
        <v>535</v>
      </c>
      <c r="Q9" s="1143" t="str">
        <f t="shared" ref="Q9:Q15" si="6">B9</f>
        <v>用途</v>
      </c>
      <c r="R9" s="1549" t="s">
        <v>8</v>
      </c>
      <c r="S9" s="1550">
        <f t="shared" si="0"/>
        <v>100</v>
      </c>
      <c r="T9" s="1549" t="s">
        <v>8</v>
      </c>
      <c r="U9" s="1550">
        <f t="shared" si="1"/>
        <v>100</v>
      </c>
      <c r="V9" s="1549" t="s">
        <v>8</v>
      </c>
      <c r="W9" s="1550">
        <f t="shared" si="2"/>
        <v>100</v>
      </c>
      <c r="X9" s="1551"/>
      <c r="Y9" s="3504" t="s">
        <v>536</v>
      </c>
      <c r="Z9" s="1142" t="str">
        <f t="shared" ref="Z9:Z15" si="7">Q9</f>
        <v>用途</v>
      </c>
      <c r="AA9" s="1552">
        <f t="shared" si="3"/>
        <v>1</v>
      </c>
      <c r="AB9" s="1552">
        <f t="shared" si="4"/>
        <v>1</v>
      </c>
      <c r="AC9" s="1552">
        <f t="shared" si="5"/>
        <v>1</v>
      </c>
    </row>
    <row r="10" spans="1:29" s="1330" customFormat="1" ht="28.8">
      <c r="A10" s="2864"/>
      <c r="B10" s="2869" t="s">
        <v>2753</v>
      </c>
      <c r="C10" s="858" t="s">
        <v>3086</v>
      </c>
      <c r="D10" s="252">
        <v>100</v>
      </c>
      <c r="E10" s="858" t="s">
        <v>3086</v>
      </c>
      <c r="F10" s="860">
        <f>SUMIF(65:65,E10,66:66)-SUMIF(65:65,C10,66:66)+100</f>
        <v>100</v>
      </c>
      <c r="G10" s="858" t="s">
        <v>3086</v>
      </c>
      <c r="H10" s="252">
        <f>SUMIF(65:65,G10,66:66)-SUMIF(65:65,C10,66:66)+100</f>
        <v>100</v>
      </c>
      <c r="I10" s="858" t="s">
        <v>3086</v>
      </c>
      <c r="J10" s="252">
        <f>SUMIF(65:65,I10,66:66)-SUMIF(65:65,C10,66:66)+100</f>
        <v>100</v>
      </c>
      <c r="K10" s="861">
        <v>1</v>
      </c>
      <c r="L10" s="2118"/>
      <c r="M10" s="2158"/>
      <c r="N10" s="2158"/>
      <c r="O10" s="2119"/>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5"/>
      <c r="B11" s="2869"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20"/>
      <c r="M11" s="2114"/>
      <c r="N11" s="2114"/>
      <c r="O11" s="2121"/>
      <c r="P11" s="3562"/>
      <c r="Q11" s="1143" t="str">
        <f t="shared" si="6"/>
        <v>容积率</v>
      </c>
      <c r="R11" s="1549" t="s">
        <v>11</v>
      </c>
      <c r="S11" s="1550">
        <f t="shared" si="0"/>
        <v>100</v>
      </c>
      <c r="T11" s="1549" t="s">
        <v>11</v>
      </c>
      <c r="U11" s="1550">
        <f t="shared" si="1"/>
        <v>100</v>
      </c>
      <c r="V11" s="1549" t="s">
        <v>11</v>
      </c>
      <c r="W11" s="1550">
        <f t="shared" si="2"/>
        <v>100</v>
      </c>
      <c r="X11" s="1551"/>
      <c r="Y11" s="3504"/>
      <c r="Z11" s="1142" t="str">
        <f t="shared" si="7"/>
        <v>容积率</v>
      </c>
      <c r="AA11" s="1552">
        <f t="shared" si="3"/>
        <v>1</v>
      </c>
      <c r="AB11" s="1552">
        <f t="shared" si="4"/>
        <v>1</v>
      </c>
      <c r="AC11" s="1552">
        <f t="shared" si="5"/>
        <v>1</v>
      </c>
    </row>
    <row r="12" spans="1:29" s="1212" customFormat="1" ht="15">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562"/>
      <c r="Q12" s="1143">
        <f t="shared" si="6"/>
        <v>111</v>
      </c>
      <c r="R12" s="1549" t="s">
        <v>11</v>
      </c>
      <c r="S12" s="1550">
        <f t="shared" si="0"/>
        <v>100</v>
      </c>
      <c r="T12" s="1549" t="s">
        <v>11</v>
      </c>
      <c r="U12" s="1550">
        <f t="shared" si="1"/>
        <v>100</v>
      </c>
      <c r="V12" s="1549" t="s">
        <v>11</v>
      </c>
      <c r="W12" s="1550">
        <f t="shared" si="2"/>
        <v>100</v>
      </c>
      <c r="X12" s="1551"/>
      <c r="Y12" s="3504"/>
      <c r="Z12" s="1142">
        <f t="shared" si="7"/>
        <v>111</v>
      </c>
      <c r="AA12" s="1552">
        <f>D12/F12</f>
        <v>1</v>
      </c>
      <c r="AB12" s="1552">
        <f>D12/H12</f>
        <v>1</v>
      </c>
      <c r="AC12" s="1552">
        <f>D12/J12</f>
        <v>1</v>
      </c>
    </row>
    <row r="13" spans="1:29" ht="15">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562"/>
      <c r="Q13" s="1143">
        <f t="shared" si="6"/>
        <v>111</v>
      </c>
      <c r="R13" s="1549" t="s">
        <v>11</v>
      </c>
      <c r="S13" s="1550">
        <f t="shared" si="0"/>
        <v>100</v>
      </c>
      <c r="T13" s="1549" t="s">
        <v>11</v>
      </c>
      <c r="U13" s="1550">
        <f t="shared" si="1"/>
        <v>100</v>
      </c>
      <c r="V13" s="1549" t="s">
        <v>11</v>
      </c>
      <c r="W13" s="1550">
        <f t="shared" si="2"/>
        <v>100</v>
      </c>
      <c r="X13" s="1551"/>
      <c r="Y13" s="3504"/>
      <c r="Z13" s="1142">
        <f t="shared" si="7"/>
        <v>111</v>
      </c>
      <c r="AA13" s="1552">
        <f t="shared" si="3"/>
        <v>1</v>
      </c>
      <c r="AB13" s="1552">
        <f t="shared" si="4"/>
        <v>1</v>
      </c>
      <c r="AC13" s="1552">
        <f t="shared" si="5"/>
        <v>1</v>
      </c>
    </row>
    <row r="14" spans="1:29" ht="15.6"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562"/>
      <c r="Q14" s="1143">
        <f t="shared" si="6"/>
        <v>111</v>
      </c>
      <c r="R14" s="1549" t="s">
        <v>11</v>
      </c>
      <c r="S14" s="1550">
        <f t="shared" si="0"/>
        <v>100</v>
      </c>
      <c r="T14" s="1549" t="s">
        <v>11</v>
      </c>
      <c r="U14" s="1550">
        <f t="shared" si="1"/>
        <v>100</v>
      </c>
      <c r="V14" s="1549" t="s">
        <v>11</v>
      </c>
      <c r="W14" s="1550">
        <f t="shared" si="2"/>
        <v>100</v>
      </c>
      <c r="X14" s="1551"/>
      <c r="Y14" s="3504"/>
      <c r="Z14" s="1142">
        <f t="shared" si="7"/>
        <v>111</v>
      </c>
      <c r="AA14" s="1552">
        <f t="shared" si="3"/>
        <v>1</v>
      </c>
      <c r="AB14" s="1552">
        <f t="shared" si="4"/>
        <v>1</v>
      </c>
      <c r="AC14" s="1552">
        <f t="shared" si="5"/>
        <v>1</v>
      </c>
    </row>
    <row r="15" spans="1:29" ht="43.2">
      <c r="A15" s="2859" t="s">
        <v>2750</v>
      </c>
      <c r="B15" s="165" t="s">
        <v>295</v>
      </c>
      <c r="C15" s="864">
        <f>估价对象房地状况!C3</f>
        <v>0</v>
      </c>
      <c r="D15" s="546">
        <v>100</v>
      </c>
      <c r="E15" s="3200" t="s">
        <v>3082</v>
      </c>
      <c r="F15" s="548">
        <f>SUMIF(76:76,E16,77:77)-SUMIF(76:76,C16,77:77)+100</f>
        <v>100</v>
      </c>
      <c r="G15" s="549"/>
      <c r="H15" s="546">
        <f>SUMIF(76:76,G16,77:77)-SUMIF(76:76,C16,77:77)+100</f>
        <v>100</v>
      </c>
      <c r="I15" s="547"/>
      <c r="J15" s="546">
        <f>SUMIF(76:76,I16,77:77)-SUMIF(76:76,C16,77:77)+100</f>
        <v>100</v>
      </c>
      <c r="K15" s="865">
        <f>'比较法-住宅、综合'!K17</f>
        <v>0</v>
      </c>
      <c r="L15" s="2122"/>
      <c r="M15" s="2114"/>
      <c r="N15" s="2114"/>
      <c r="O15" s="2121"/>
      <c r="P15" s="3597" t="s">
        <v>540</v>
      </c>
      <c r="Q15" s="1553" t="str">
        <f t="shared" si="6"/>
        <v>居住社区成熟度</v>
      </c>
      <c r="R15" s="1554" t="s">
        <v>11</v>
      </c>
      <c r="S15" s="1555">
        <f t="shared" si="0"/>
        <v>100</v>
      </c>
      <c r="T15" s="1554" t="s">
        <v>11</v>
      </c>
      <c r="U15" s="1555">
        <f t="shared" si="1"/>
        <v>100</v>
      </c>
      <c r="V15" s="1554" t="s">
        <v>11</v>
      </c>
      <c r="W15" s="1555">
        <f t="shared" si="2"/>
        <v>100</v>
      </c>
      <c r="X15" s="1548"/>
      <c r="Y15" s="3597" t="s">
        <v>540</v>
      </c>
      <c r="Z15" s="1556" t="str">
        <f t="shared" si="7"/>
        <v>居住社区成熟度</v>
      </c>
      <c r="AA15" s="1557">
        <f t="shared" si="3"/>
        <v>1</v>
      </c>
      <c r="AB15" s="1557">
        <f t="shared" si="4"/>
        <v>1</v>
      </c>
      <c r="AC15" s="1557">
        <f t="shared" si="5"/>
        <v>1</v>
      </c>
    </row>
    <row r="16" spans="1:29" ht="15">
      <c r="A16" s="529"/>
      <c r="B16" s="866"/>
      <c r="C16" s="573" t="s">
        <v>3044</v>
      </c>
      <c r="D16" s="552"/>
      <c r="E16" s="553" t="s">
        <v>3056</v>
      </c>
      <c r="F16" s="554"/>
      <c r="G16" s="555" t="s">
        <v>3056</v>
      </c>
      <c r="H16" s="556"/>
      <c r="I16" s="553" t="s">
        <v>3044</v>
      </c>
      <c r="J16" s="552"/>
      <c r="K16" s="867"/>
      <c r="L16" s="2122"/>
      <c r="M16" s="2114"/>
      <c r="N16" s="2114"/>
      <c r="O16" s="2121"/>
      <c r="P16" s="3598"/>
      <c r="Q16" s="1553"/>
      <c r="R16" s="1554"/>
      <c r="S16" s="1555"/>
      <c r="T16" s="1554"/>
      <c r="U16" s="1555"/>
      <c r="V16" s="1554"/>
      <c r="W16" s="1555"/>
      <c r="X16" s="1548"/>
      <c r="Y16" s="3598"/>
      <c r="Z16" s="1556"/>
      <c r="AA16" s="1557">
        <v>1</v>
      </c>
      <c r="AB16" s="1557">
        <v>1</v>
      </c>
      <c r="AC16" s="1557">
        <v>1</v>
      </c>
    </row>
    <row r="17" spans="1:29" ht="69">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5</v>
      </c>
      <c r="L17" s="2122"/>
      <c r="M17" s="2114"/>
      <c r="N17" s="2114"/>
      <c r="O17" s="2121"/>
      <c r="P17" s="3598"/>
      <c r="Q17" s="1553" t="str">
        <f>B17</f>
        <v>交通便捷度</v>
      </c>
      <c r="R17" s="1554" t="s">
        <v>11</v>
      </c>
      <c r="S17" s="1555">
        <f>F17</f>
        <v>100</v>
      </c>
      <c r="T17" s="1554" t="s">
        <v>11</v>
      </c>
      <c r="U17" s="1555">
        <f>H17</f>
        <v>100</v>
      </c>
      <c r="V17" s="1554" t="s">
        <v>11</v>
      </c>
      <c r="W17" s="1555">
        <f>J17</f>
        <v>100</v>
      </c>
      <c r="X17" s="1548"/>
      <c r="Y17" s="3598"/>
      <c r="Z17" s="1556" t="str">
        <f>Q17</f>
        <v>交通便捷度</v>
      </c>
      <c r="AA17" s="1557">
        <f t="shared" si="3"/>
        <v>1</v>
      </c>
      <c r="AB17" s="1557">
        <f t="shared" si="4"/>
        <v>1</v>
      </c>
      <c r="AC17" s="1557">
        <f t="shared" si="5"/>
        <v>1</v>
      </c>
    </row>
    <row r="18" spans="1:29" ht="15">
      <c r="A18" s="529"/>
      <c r="B18" s="592"/>
      <c r="C18" s="870" t="s">
        <v>3044</v>
      </c>
      <c r="D18" s="556"/>
      <c r="E18" s="870" t="s">
        <v>3044</v>
      </c>
      <c r="F18" s="560"/>
      <c r="G18" s="870" t="s">
        <v>3044</v>
      </c>
      <c r="H18" s="552"/>
      <c r="I18" s="870" t="s">
        <v>3044</v>
      </c>
      <c r="J18" s="552"/>
      <c r="K18" s="867"/>
      <c r="L18" s="2122"/>
      <c r="M18" s="2114"/>
      <c r="N18" s="2114"/>
      <c r="O18" s="2121"/>
      <c r="P18" s="3598"/>
      <c r="Q18" s="1553"/>
      <c r="R18" s="1554"/>
      <c r="S18" s="1555"/>
      <c r="T18" s="1554"/>
      <c r="U18" s="1555"/>
      <c r="V18" s="1554"/>
      <c r="W18" s="1555"/>
      <c r="X18" s="1548"/>
      <c r="Y18" s="3598"/>
      <c r="Z18" s="1556"/>
      <c r="AA18" s="1557">
        <v>1</v>
      </c>
      <c r="AB18" s="1557">
        <v>1</v>
      </c>
      <c r="AC18" s="1557">
        <v>1</v>
      </c>
    </row>
    <row r="19" spans="1:29" ht="27.6">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22"/>
      <c r="M19" s="2114"/>
      <c r="N19" s="2114"/>
      <c r="O19" s="2121"/>
      <c r="P19" s="3598"/>
      <c r="Q19" s="1553" t="str">
        <f>B19</f>
        <v>公共配套设施</v>
      </c>
      <c r="R19" s="1554" t="s">
        <v>11</v>
      </c>
      <c r="S19" s="1555">
        <f>F19</f>
        <v>100</v>
      </c>
      <c r="T19" s="1554" t="s">
        <v>11</v>
      </c>
      <c r="U19" s="1555">
        <f>H19</f>
        <v>100</v>
      </c>
      <c r="V19" s="1554" t="s">
        <v>11</v>
      </c>
      <c r="W19" s="1555">
        <f>J19</f>
        <v>100</v>
      </c>
      <c r="X19" s="1548"/>
      <c r="Y19" s="3598"/>
      <c r="Z19" s="1556" t="str">
        <f>Q19</f>
        <v>公共配套设施</v>
      </c>
      <c r="AA19" s="1557">
        <f t="shared" si="3"/>
        <v>1</v>
      </c>
      <c r="AB19" s="1557">
        <f t="shared" si="4"/>
        <v>1</v>
      </c>
      <c r="AC19" s="1557">
        <f t="shared" si="5"/>
        <v>1</v>
      </c>
    </row>
    <row r="20" spans="1:29" ht="15">
      <c r="A20" s="529"/>
      <c r="B20" s="592"/>
      <c r="C20" s="573" t="s">
        <v>3044</v>
      </c>
      <c r="D20" s="552"/>
      <c r="E20" s="870" t="s">
        <v>3044</v>
      </c>
      <c r="F20" s="554"/>
      <c r="G20" s="870" t="s">
        <v>3044</v>
      </c>
      <c r="H20" s="552"/>
      <c r="I20" s="870" t="s">
        <v>3044</v>
      </c>
      <c r="J20" s="552"/>
      <c r="K20" s="867"/>
      <c r="L20" s="2122"/>
      <c r="M20" s="2114"/>
      <c r="N20" s="2114"/>
      <c r="O20" s="2121"/>
      <c r="P20" s="3598"/>
      <c r="Q20" s="1553"/>
      <c r="R20" s="1554"/>
      <c r="S20" s="1555"/>
      <c r="T20" s="1554"/>
      <c r="U20" s="1555"/>
      <c r="V20" s="1554"/>
      <c r="W20" s="1555"/>
      <c r="X20" s="1548"/>
      <c r="Y20" s="3598"/>
      <c r="Z20" s="1556"/>
      <c r="AA20" s="1557">
        <v>1</v>
      </c>
      <c r="AB20" s="1557">
        <v>1</v>
      </c>
      <c r="AC20" s="1557">
        <v>1</v>
      </c>
    </row>
    <row r="21" spans="1:29" ht="27.6">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22"/>
      <c r="M21" s="2114"/>
      <c r="N21" s="2114"/>
      <c r="O21" s="2121"/>
      <c r="P21" s="3598"/>
      <c r="Q21" s="2538" t="str">
        <f>B21</f>
        <v>基础设施水平</v>
      </c>
      <c r="R21" s="1554" t="s">
        <v>11</v>
      </c>
      <c r="S21" s="1555">
        <f>F21</f>
        <v>100</v>
      </c>
      <c r="T21" s="1554" t="s">
        <v>11</v>
      </c>
      <c r="U21" s="1555">
        <f>H21</f>
        <v>100</v>
      </c>
      <c r="V21" s="1554" t="s">
        <v>11</v>
      </c>
      <c r="W21" s="1555">
        <f>J21</f>
        <v>100</v>
      </c>
      <c r="X21" s="2540"/>
      <c r="Y21" s="3598"/>
      <c r="Z21" s="2539" t="str">
        <f>Q21</f>
        <v>基础设施水平</v>
      </c>
      <c r="AA21" s="1557">
        <f>D21/F21</f>
        <v>1</v>
      </c>
      <c r="AB21" s="1557">
        <f>D21/H21</f>
        <v>1</v>
      </c>
      <c r="AC21" s="1557">
        <f>D21/J21</f>
        <v>1</v>
      </c>
    </row>
    <row r="22" spans="1:29" ht="15">
      <c r="A22" s="529"/>
      <c r="B22" s="918"/>
      <c r="C22" s="870" t="s">
        <v>3058</v>
      </c>
      <c r="D22" s="552"/>
      <c r="E22" s="870" t="s">
        <v>3058</v>
      </c>
      <c r="F22" s="554"/>
      <c r="G22" s="870" t="s">
        <v>3058</v>
      </c>
      <c r="H22" s="552"/>
      <c r="I22" s="870" t="s">
        <v>3058</v>
      </c>
      <c r="J22" s="552"/>
      <c r="K22" s="2558"/>
      <c r="L22" s="2122"/>
      <c r="M22" s="2114"/>
      <c r="N22" s="2114"/>
      <c r="O22" s="2121"/>
      <c r="P22" s="3598"/>
      <c r="Q22" s="2538"/>
      <c r="R22" s="1554"/>
      <c r="S22" s="1555"/>
      <c r="T22" s="1554"/>
      <c r="U22" s="1555"/>
      <c r="V22" s="1554"/>
      <c r="W22" s="1555"/>
      <c r="X22" s="2540"/>
      <c r="Y22" s="3598"/>
      <c r="Z22" s="2539"/>
      <c r="AA22" s="1557">
        <v>1</v>
      </c>
      <c r="AB22" s="1557">
        <v>1</v>
      </c>
      <c r="AC22" s="1557">
        <v>1</v>
      </c>
    </row>
    <row r="23" spans="1:29" ht="55.2">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5</v>
      </c>
      <c r="L23" s="2122"/>
      <c r="M23" s="2114"/>
      <c r="N23" s="2114"/>
      <c r="O23" s="2121"/>
      <c r="P23" s="3598"/>
      <c r="Q23" s="1553" t="str">
        <f>B23</f>
        <v>自然及人文环境</v>
      </c>
      <c r="R23" s="1554" t="s">
        <v>11</v>
      </c>
      <c r="S23" s="1555">
        <f>F23</f>
        <v>100</v>
      </c>
      <c r="T23" s="1554" t="s">
        <v>11</v>
      </c>
      <c r="U23" s="1555">
        <f>H23</f>
        <v>100</v>
      </c>
      <c r="V23" s="1554" t="s">
        <v>11</v>
      </c>
      <c r="W23" s="1555">
        <f>J23</f>
        <v>100</v>
      </c>
      <c r="X23" s="1548"/>
      <c r="Y23" s="3598"/>
      <c r="Z23" s="1556" t="str">
        <f>Q23</f>
        <v>自然及人文环境</v>
      </c>
      <c r="AA23" s="1557">
        <f t="shared" si="3"/>
        <v>1</v>
      </c>
      <c r="AB23" s="1557">
        <f t="shared" si="4"/>
        <v>1</v>
      </c>
      <c r="AC23" s="1557">
        <f t="shared" si="5"/>
        <v>1</v>
      </c>
    </row>
    <row r="24" spans="1:29" ht="15">
      <c r="A24" s="529"/>
      <c r="B24" s="592"/>
      <c r="C24" s="573" t="s">
        <v>3044</v>
      </c>
      <c r="D24" s="552"/>
      <c r="E24" s="573" t="s">
        <v>3044</v>
      </c>
      <c r="F24" s="554"/>
      <c r="G24" s="573" t="s">
        <v>3044</v>
      </c>
      <c r="H24" s="552"/>
      <c r="I24" s="573" t="s">
        <v>3044</v>
      </c>
      <c r="J24" s="552"/>
      <c r="K24" s="867"/>
      <c r="L24" s="2122"/>
      <c r="M24" s="2114"/>
      <c r="N24" s="2114"/>
      <c r="O24" s="2121"/>
      <c r="P24" s="3598"/>
      <c r="Q24" s="1553"/>
      <c r="R24" s="1554"/>
      <c r="S24" s="1555"/>
      <c r="T24" s="1554"/>
      <c r="U24" s="1555"/>
      <c r="V24" s="1554"/>
      <c r="W24" s="1555"/>
      <c r="X24" s="1548"/>
      <c r="Y24" s="3598"/>
      <c r="Z24" s="1556"/>
      <c r="AA24" s="1557">
        <v>1</v>
      </c>
      <c r="AB24" s="1557">
        <v>1</v>
      </c>
      <c r="AC24" s="1557">
        <v>1</v>
      </c>
    </row>
    <row r="25" spans="1:29" ht="15">
      <c r="A25" s="529"/>
      <c r="B25" s="1875" t="s">
        <v>2254</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598"/>
      <c r="Q25" s="1553" t="str">
        <f t="shared" ref="Q25:Q46" si="8">B25</f>
        <v>楼层-1</v>
      </c>
      <c r="R25" s="1554" t="s">
        <v>11</v>
      </c>
      <c r="S25" s="1555">
        <f>F25</f>
        <v>100</v>
      </c>
      <c r="T25" s="1554" t="s">
        <v>11</v>
      </c>
      <c r="U25" s="1555">
        <f>H25</f>
        <v>100</v>
      </c>
      <c r="V25" s="1554" t="s">
        <v>11</v>
      </c>
      <c r="W25" s="1555">
        <f>J25</f>
        <v>100</v>
      </c>
      <c r="X25" s="1548"/>
      <c r="Y25" s="3598"/>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598"/>
      <c r="Q26" s="1553" t="str">
        <f t="shared" si="8"/>
        <v>朝向</v>
      </c>
      <c r="R26" s="1554" t="s">
        <v>11</v>
      </c>
      <c r="S26" s="1555">
        <f>F26</f>
        <v>100</v>
      </c>
      <c r="T26" s="1554" t="s">
        <v>11</v>
      </c>
      <c r="U26" s="1555">
        <f>H26</f>
        <v>100</v>
      </c>
      <c r="V26" s="1554" t="s">
        <v>11</v>
      </c>
      <c r="W26" s="1555">
        <f>J26</f>
        <v>100</v>
      </c>
      <c r="X26" s="1548"/>
      <c r="Y26" s="3598"/>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598"/>
      <c r="Q27" s="1143" t="str">
        <f t="shared" si="8"/>
        <v>道路级别</v>
      </c>
      <c r="R27" s="1549" t="s">
        <v>11</v>
      </c>
      <c r="S27" s="1550">
        <f>F27</f>
        <v>100</v>
      </c>
      <c r="T27" s="1549" t="s">
        <v>11</v>
      </c>
      <c r="U27" s="1550">
        <f>H27</f>
        <v>100</v>
      </c>
      <c r="V27" s="1549" t="s">
        <v>11</v>
      </c>
      <c r="W27" s="1550">
        <f>J27</f>
        <v>100</v>
      </c>
      <c r="X27" s="1551"/>
      <c r="Y27" s="3598"/>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598"/>
      <c r="Q28" s="1553">
        <f t="shared" si="8"/>
        <v>111</v>
      </c>
      <c r="R28" s="1554" t="s">
        <v>11</v>
      </c>
      <c r="S28" s="1555">
        <f t="shared" ref="S28:S46" si="9">F28</f>
        <v>100</v>
      </c>
      <c r="T28" s="1554" t="s">
        <v>11</v>
      </c>
      <c r="U28" s="1555">
        <f t="shared" ref="U28:U46" si="10">H28</f>
        <v>100</v>
      </c>
      <c r="V28" s="1554" t="s">
        <v>11</v>
      </c>
      <c r="W28" s="1555">
        <f t="shared" ref="W28:W46" si="11">J28</f>
        <v>100</v>
      </c>
      <c r="X28" s="1548"/>
      <c r="Y28" s="3598"/>
      <c r="Z28" s="1556">
        <f t="shared" ref="Z28:Z46" si="12">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598"/>
      <c r="Q29" s="1553">
        <f t="shared" si="8"/>
        <v>111</v>
      </c>
      <c r="R29" s="1554" t="s">
        <v>11</v>
      </c>
      <c r="S29" s="1555">
        <f t="shared" si="9"/>
        <v>100</v>
      </c>
      <c r="T29" s="1554" t="s">
        <v>11</v>
      </c>
      <c r="U29" s="1555">
        <f t="shared" si="10"/>
        <v>100</v>
      </c>
      <c r="V29" s="1554" t="s">
        <v>11</v>
      </c>
      <c r="W29" s="1555">
        <f t="shared" si="11"/>
        <v>100</v>
      </c>
      <c r="X29" s="1548"/>
      <c r="Y29" s="3598"/>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598"/>
      <c r="Q30" s="1553">
        <f t="shared" si="8"/>
        <v>111</v>
      </c>
      <c r="R30" s="1554" t="s">
        <v>11</v>
      </c>
      <c r="S30" s="1555">
        <f t="shared" si="9"/>
        <v>100</v>
      </c>
      <c r="T30" s="1554" t="s">
        <v>11</v>
      </c>
      <c r="U30" s="1555">
        <f t="shared" si="10"/>
        <v>100</v>
      </c>
      <c r="V30" s="1554" t="s">
        <v>11</v>
      </c>
      <c r="W30" s="1555">
        <f t="shared" si="11"/>
        <v>100</v>
      </c>
      <c r="X30" s="1548"/>
      <c r="Y30" s="3598"/>
      <c r="Z30" s="1556">
        <f t="shared" si="12"/>
        <v>111</v>
      </c>
      <c r="AA30" s="1557">
        <f t="shared" si="3"/>
        <v>1</v>
      </c>
      <c r="AB30" s="1557">
        <f t="shared" si="4"/>
        <v>1</v>
      </c>
      <c r="AC30" s="1557">
        <f t="shared" si="5"/>
        <v>1</v>
      </c>
    </row>
    <row r="31" spans="1:29" ht="15.6"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598"/>
      <c r="Q31" s="1553">
        <f t="shared" si="8"/>
        <v>111</v>
      </c>
      <c r="R31" s="1554" t="s">
        <v>11</v>
      </c>
      <c r="S31" s="1555">
        <f t="shared" si="9"/>
        <v>100</v>
      </c>
      <c r="T31" s="1554" t="s">
        <v>11</v>
      </c>
      <c r="U31" s="1555">
        <f t="shared" si="10"/>
        <v>100</v>
      </c>
      <c r="V31" s="1554" t="s">
        <v>11</v>
      </c>
      <c r="W31" s="1555">
        <f t="shared" si="11"/>
        <v>100</v>
      </c>
      <c r="X31" s="1548"/>
      <c r="Y31" s="3598"/>
      <c r="Z31" s="1556">
        <f t="shared" si="12"/>
        <v>111</v>
      </c>
      <c r="AA31" s="1557">
        <f t="shared" si="3"/>
        <v>1</v>
      </c>
      <c r="AB31" s="1557">
        <f t="shared" si="4"/>
        <v>1</v>
      </c>
      <c r="AC31" s="1557">
        <f t="shared" si="5"/>
        <v>1</v>
      </c>
    </row>
    <row r="32" spans="1:29" ht="15">
      <c r="A32" s="2857" t="s">
        <v>2751</v>
      </c>
      <c r="B32" s="171" t="s">
        <v>725</v>
      </c>
      <c r="C32" s="875" t="s">
        <v>3087</v>
      </c>
      <c r="D32" s="594">
        <v>100</v>
      </c>
      <c r="E32" s="875" t="s">
        <v>3087</v>
      </c>
      <c r="F32" s="572">
        <f>SUMIF(100:100,E32,101:101)-SUMIF(100:100,C32,101:101)+100</f>
        <v>100</v>
      </c>
      <c r="G32" s="875" t="s">
        <v>3102</v>
      </c>
      <c r="H32" s="594">
        <f>SUMIF(100:100,G32,101:101)-SUMIF(100:100,C32,101:101)+100</f>
        <v>103</v>
      </c>
      <c r="I32" s="875" t="s">
        <v>3087</v>
      </c>
      <c r="J32" s="537">
        <f>SUMIF(100:100,I32,101:101)-SUMIF(100:100,C32,101:101)+100</f>
        <v>100</v>
      </c>
      <c r="K32" s="861">
        <v>3</v>
      </c>
      <c r="L32" s="2122"/>
      <c r="M32" s="2114"/>
      <c r="N32" s="2114"/>
      <c r="O32" s="2121"/>
      <c r="P32" s="3599" t="s">
        <v>550</v>
      </c>
      <c r="Q32" s="1553" t="str">
        <f t="shared" si="8"/>
        <v>建筑类型</v>
      </c>
      <c r="R32" s="1554" t="s">
        <v>11</v>
      </c>
      <c r="S32" s="1555">
        <f t="shared" si="9"/>
        <v>100</v>
      </c>
      <c r="T32" s="1554" t="s">
        <v>11</v>
      </c>
      <c r="U32" s="1555">
        <f t="shared" si="10"/>
        <v>103</v>
      </c>
      <c r="V32" s="1554" t="s">
        <v>11</v>
      </c>
      <c r="W32" s="1555">
        <f t="shared" si="11"/>
        <v>100</v>
      </c>
      <c r="X32" s="1548"/>
      <c r="Y32" s="3600" t="s">
        <v>550</v>
      </c>
      <c r="Z32" s="1556" t="str">
        <f t="shared" si="12"/>
        <v>建筑类型</v>
      </c>
      <c r="AA32" s="1557">
        <f t="shared" si="3"/>
        <v>1</v>
      </c>
      <c r="AB32" s="1557">
        <f t="shared" si="4"/>
        <v>0.970873786407767</v>
      </c>
      <c r="AC32" s="1557">
        <f t="shared" si="5"/>
        <v>1</v>
      </c>
    </row>
    <row r="33" spans="1:29" s="1331" customFormat="1" ht="15">
      <c r="A33" s="600"/>
      <c r="B33" s="524" t="s">
        <v>726</v>
      </c>
      <c r="C33" s="3202">
        <v>90</v>
      </c>
      <c r="D33" s="252">
        <v>100</v>
      </c>
      <c r="E33" s="3202">
        <v>90</v>
      </c>
      <c r="F33" s="860">
        <f>LOOKUP(E33,103:103,104:104)-LOOKUP(C33,103:103,104:104)+100</f>
        <v>100</v>
      </c>
      <c r="G33" s="3202">
        <v>220</v>
      </c>
      <c r="H33" s="252">
        <f>LOOKUP(G33,103:103,104:104)-LOOKUP(C33,103:103,104:104)+100</f>
        <v>96</v>
      </c>
      <c r="I33" s="3202">
        <v>100</v>
      </c>
      <c r="J33" s="252">
        <f>LOOKUP(I33,103:103,104:104)-LOOKUP(C33,103:103,104:104)+100</f>
        <v>98</v>
      </c>
      <c r="K33" s="862"/>
      <c r="L33" s="2120"/>
      <c r="M33" s="2151"/>
      <c r="N33" s="2151"/>
      <c r="O33" s="2123"/>
      <c r="P33" s="3600"/>
      <c r="Q33" s="1585" t="str">
        <f t="shared" si="8"/>
        <v>项目建筑规模</v>
      </c>
      <c r="R33" s="1558" t="s">
        <v>11</v>
      </c>
      <c r="S33" s="1559">
        <f t="shared" si="9"/>
        <v>100</v>
      </c>
      <c r="T33" s="1558" t="s">
        <v>11</v>
      </c>
      <c r="U33" s="1559">
        <f t="shared" si="10"/>
        <v>96</v>
      </c>
      <c r="V33" s="1558" t="s">
        <v>11</v>
      </c>
      <c r="W33" s="1559">
        <f t="shared" si="11"/>
        <v>98</v>
      </c>
      <c r="X33" s="1560"/>
      <c r="Y33" s="3600"/>
      <c r="Z33" s="1561" t="str">
        <f t="shared" si="12"/>
        <v>项目建筑规模</v>
      </c>
      <c r="AA33" s="1557">
        <f t="shared" si="3"/>
        <v>1</v>
      </c>
      <c r="AB33" s="1557">
        <f t="shared" si="4"/>
        <v>1.0416666666666667</v>
      </c>
      <c r="AC33" s="1557">
        <f t="shared" si="5"/>
        <v>1.0204081632653061</v>
      </c>
    </row>
    <row r="34" spans="1:29" ht="15">
      <c r="A34" s="591"/>
      <c r="B34" s="524" t="s">
        <v>727</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3209">
        <v>2</v>
      </c>
      <c r="L34" s="2122"/>
      <c r="M34" s="2114"/>
      <c r="N34" s="2114"/>
      <c r="O34" s="2121"/>
      <c r="P34" s="3600"/>
      <c r="Q34" s="1553" t="str">
        <f t="shared" si="8"/>
        <v>建筑结构</v>
      </c>
      <c r="R34" s="1554" t="s">
        <v>11</v>
      </c>
      <c r="S34" s="1555">
        <f t="shared" si="9"/>
        <v>100</v>
      </c>
      <c r="T34" s="1554" t="s">
        <v>11</v>
      </c>
      <c r="U34" s="1555">
        <f t="shared" si="10"/>
        <v>100</v>
      </c>
      <c r="V34" s="1554" t="s">
        <v>11</v>
      </c>
      <c r="W34" s="1555">
        <f t="shared" si="11"/>
        <v>100</v>
      </c>
      <c r="X34" s="1548"/>
      <c r="Y34" s="3600"/>
      <c r="Z34" s="1556" t="str">
        <f t="shared" si="12"/>
        <v>建筑结构</v>
      </c>
      <c r="AA34" s="1557">
        <f t="shared" si="3"/>
        <v>1</v>
      </c>
      <c r="AB34" s="1557">
        <f t="shared" si="4"/>
        <v>1</v>
      </c>
      <c r="AC34" s="1557">
        <f t="shared" si="5"/>
        <v>1</v>
      </c>
    </row>
    <row r="35" spans="1:29" ht="15">
      <c r="A35" s="591"/>
      <c r="B35" s="524" t="s">
        <v>728</v>
      </c>
      <c r="C35" s="596" t="s">
        <v>3088</v>
      </c>
      <c r="D35" s="537">
        <v>100</v>
      </c>
      <c r="E35" s="596" t="s">
        <v>3088</v>
      </c>
      <c r="F35" s="572">
        <f>SUMIF(107:107,E35,108:108)-SUMIF(107:107,C35,108:108)+100</f>
        <v>100</v>
      </c>
      <c r="G35" s="596" t="s">
        <v>3088</v>
      </c>
      <c r="H35" s="537">
        <f>SUMIF(107:107,G35,108:108)-SUMIF(107:107,C35,108:108)+100</f>
        <v>100</v>
      </c>
      <c r="I35" s="596" t="s">
        <v>3088</v>
      </c>
      <c r="J35" s="537">
        <f>SUMIF(107:107,I35,108:108)-SUMIF(107:107,C35,108:108)+100</f>
        <v>100</v>
      </c>
      <c r="K35" s="3209">
        <v>2</v>
      </c>
      <c r="L35" s="2122"/>
      <c r="M35" s="2114"/>
      <c r="N35" s="2114"/>
      <c r="O35" s="2121"/>
      <c r="P35" s="3600"/>
      <c r="Q35" s="1553" t="str">
        <f t="shared" si="8"/>
        <v>建筑品质</v>
      </c>
      <c r="R35" s="1554" t="s">
        <v>11</v>
      </c>
      <c r="S35" s="1555">
        <f t="shared" si="9"/>
        <v>100</v>
      </c>
      <c r="T35" s="1554" t="s">
        <v>11</v>
      </c>
      <c r="U35" s="1555">
        <f t="shared" si="10"/>
        <v>100</v>
      </c>
      <c r="V35" s="1554" t="s">
        <v>11</v>
      </c>
      <c r="W35" s="1555">
        <f t="shared" si="11"/>
        <v>100</v>
      </c>
      <c r="X35" s="1548"/>
      <c r="Y35" s="3600"/>
      <c r="Z35" s="1556" t="str">
        <f t="shared" si="12"/>
        <v>建筑品质</v>
      </c>
      <c r="AA35" s="1557">
        <f t="shared" si="3"/>
        <v>1</v>
      </c>
      <c r="AB35" s="1557">
        <f t="shared" si="4"/>
        <v>1</v>
      </c>
      <c r="AC35" s="1557">
        <f t="shared" si="5"/>
        <v>1</v>
      </c>
    </row>
    <row r="36" spans="1:29" ht="15">
      <c r="A36" s="591"/>
      <c r="B36" s="524" t="s">
        <v>729</v>
      </c>
      <c r="C36" s="596" t="s">
        <v>3089</v>
      </c>
      <c r="D36" s="537">
        <v>100</v>
      </c>
      <c r="E36" s="596" t="s">
        <v>3089</v>
      </c>
      <c r="F36" s="572">
        <f>SUMIF(109:109,E36,110:110)-SUMIF(109:109,C36,110:110)+100</f>
        <v>100</v>
      </c>
      <c r="G36" s="596" t="s">
        <v>3089</v>
      </c>
      <c r="H36" s="537">
        <f>SUMIF(109:109,G36,110:110)-SUMIF(109:109,C36,110:110)+100</f>
        <v>100</v>
      </c>
      <c r="I36" s="596" t="s">
        <v>3089</v>
      </c>
      <c r="J36" s="537">
        <f>SUMIF(109:109,I36,110:110)-SUMIF(109:109,C36,110:110)+100</f>
        <v>100</v>
      </c>
      <c r="K36" s="3209">
        <v>2</v>
      </c>
      <c r="L36" s="2122"/>
      <c r="M36" s="2114"/>
      <c r="N36" s="2114"/>
      <c r="O36" s="2121"/>
      <c r="P36" s="3600"/>
      <c r="Q36" s="1553" t="str">
        <f t="shared" si="8"/>
        <v>公共部分装修</v>
      </c>
      <c r="R36" s="1554" t="s">
        <v>11</v>
      </c>
      <c r="S36" s="1555">
        <f t="shared" si="9"/>
        <v>100</v>
      </c>
      <c r="T36" s="1554" t="s">
        <v>11</v>
      </c>
      <c r="U36" s="1555">
        <f t="shared" si="10"/>
        <v>100</v>
      </c>
      <c r="V36" s="1554" t="s">
        <v>11</v>
      </c>
      <c r="W36" s="1555">
        <f t="shared" si="11"/>
        <v>100</v>
      </c>
      <c r="X36" s="1548"/>
      <c r="Y36" s="3600"/>
      <c r="Z36" s="1556" t="str">
        <f t="shared" si="12"/>
        <v>公共部分装修</v>
      </c>
      <c r="AA36" s="1557">
        <f t="shared" si="3"/>
        <v>1</v>
      </c>
      <c r="AB36" s="1557">
        <f t="shared" si="4"/>
        <v>1</v>
      </c>
      <c r="AC36" s="1557">
        <f t="shared" si="5"/>
        <v>1</v>
      </c>
    </row>
    <row r="37" spans="1:29" s="1212" customFormat="1" ht="15">
      <c r="A37" s="597"/>
      <c r="B37" s="524" t="s">
        <v>730</v>
      </c>
      <c r="C37" s="3203">
        <v>1</v>
      </c>
      <c r="D37" s="252">
        <v>100</v>
      </c>
      <c r="E37" s="3203">
        <v>1</v>
      </c>
      <c r="F37" s="860">
        <f>LOOKUP(E37,112:112,113:113)-LOOKUP(C37,112:112,113:113)+100</f>
        <v>100</v>
      </c>
      <c r="G37" s="3203">
        <v>1</v>
      </c>
      <c r="H37" s="252">
        <f>LOOKUP(G37,112:112,113:113)-LOOKUP(C37,112:112,113:113)+100</f>
        <v>100</v>
      </c>
      <c r="I37" s="3203">
        <f>ROUND(1-(1-0%)*(2020-2014)/60,2)</f>
        <v>0.9</v>
      </c>
      <c r="J37" s="252">
        <f>LOOKUP(I37,112:112,113:113)-LOOKUP(C37,112:112,113:113)+100</f>
        <v>100</v>
      </c>
      <c r="K37" s="3209">
        <v>1</v>
      </c>
      <c r="L37" s="2115"/>
      <c r="M37" s="2116"/>
      <c r="N37" s="2116"/>
      <c r="O37" s="2117"/>
      <c r="P37" s="3600"/>
      <c r="Q37" s="1143" t="str">
        <f t="shared" si="8"/>
        <v>成新度</v>
      </c>
      <c r="R37" s="1549" t="s">
        <v>11</v>
      </c>
      <c r="S37" s="1550">
        <f t="shared" si="9"/>
        <v>100</v>
      </c>
      <c r="T37" s="1549" t="s">
        <v>11</v>
      </c>
      <c r="U37" s="1550">
        <f t="shared" si="10"/>
        <v>100</v>
      </c>
      <c r="V37" s="1549" t="s">
        <v>11</v>
      </c>
      <c r="W37" s="1550">
        <f t="shared" si="11"/>
        <v>100</v>
      </c>
      <c r="X37" s="1551"/>
      <c r="Y37" s="3600"/>
      <c r="Z37" s="1142" t="str">
        <f t="shared" si="12"/>
        <v>成新度</v>
      </c>
      <c r="AA37" s="1552">
        <f t="shared" si="3"/>
        <v>1</v>
      </c>
      <c r="AB37" s="1552">
        <f t="shared" si="4"/>
        <v>1</v>
      </c>
      <c r="AC37" s="1552">
        <f t="shared" si="5"/>
        <v>1</v>
      </c>
    </row>
    <row r="38" spans="1:29" ht="15">
      <c r="A38" s="591"/>
      <c r="B38" s="524" t="s">
        <v>731</v>
      </c>
      <c r="C38" s="596" t="s">
        <v>3090</v>
      </c>
      <c r="D38" s="537">
        <v>100</v>
      </c>
      <c r="E38" s="596" t="s">
        <v>3090</v>
      </c>
      <c r="F38" s="572">
        <f>SUMIF(114:114,E38,115:115)-SUMIF(114:114,C38,115:115)+100</f>
        <v>100</v>
      </c>
      <c r="G38" s="596" t="s">
        <v>3090</v>
      </c>
      <c r="H38" s="537">
        <f>SUMIF(114:114,G38,115:115)-SUMIF(114:114,C38,115:115)+100</f>
        <v>100</v>
      </c>
      <c r="I38" s="596" t="s">
        <v>3090</v>
      </c>
      <c r="J38" s="537">
        <f>SUMIF(114:114,I38,115:115)-SUMIF(114:114,C38,115:115)+100</f>
        <v>100</v>
      </c>
      <c r="K38" s="3209">
        <v>2</v>
      </c>
      <c r="L38" s="2122"/>
      <c r="M38" s="2114"/>
      <c r="N38" s="2114"/>
      <c r="O38" s="2121"/>
      <c r="P38" s="3600" t="s">
        <v>550</v>
      </c>
      <c r="Q38" s="1553" t="str">
        <f t="shared" si="8"/>
        <v>物业管理</v>
      </c>
      <c r="R38" s="1554" t="s">
        <v>11</v>
      </c>
      <c r="S38" s="1555">
        <f t="shared" si="9"/>
        <v>100</v>
      </c>
      <c r="T38" s="1554" t="s">
        <v>11</v>
      </c>
      <c r="U38" s="1555">
        <f t="shared" si="10"/>
        <v>100</v>
      </c>
      <c r="V38" s="1554" t="s">
        <v>11</v>
      </c>
      <c r="W38" s="1555">
        <f t="shared" si="11"/>
        <v>100</v>
      </c>
      <c r="X38" s="1548"/>
      <c r="Y38" s="3600" t="s">
        <v>550</v>
      </c>
      <c r="Z38" s="1556" t="str">
        <f t="shared" si="12"/>
        <v>物业管理</v>
      </c>
      <c r="AA38" s="1557">
        <f t="shared" si="3"/>
        <v>1</v>
      </c>
      <c r="AB38" s="1557">
        <f t="shared" si="4"/>
        <v>1</v>
      </c>
      <c r="AC38" s="1557">
        <f t="shared" si="5"/>
        <v>1</v>
      </c>
    </row>
    <row r="39" spans="1:29" ht="15">
      <c r="A39" s="591"/>
      <c r="B39" s="1875" t="s">
        <v>2561</v>
      </c>
      <c r="C39" s="596" t="s">
        <v>3058</v>
      </c>
      <c r="D39" s="537">
        <v>100</v>
      </c>
      <c r="E39" s="596" t="s">
        <v>3058</v>
      </c>
      <c r="F39" s="572">
        <f>SUMIF(116:116,E39,117:117)-SUMIF(116:116,C39,117:117)+100</f>
        <v>100</v>
      </c>
      <c r="G39" s="596" t="s">
        <v>3058</v>
      </c>
      <c r="H39" s="537">
        <f>SUMIF(116:116,G39,117:117)-SUMIF(116:116,C39,117:117)+100</f>
        <v>100</v>
      </c>
      <c r="I39" s="596" t="s">
        <v>3058</v>
      </c>
      <c r="J39" s="537">
        <f>SUMIF(116:116,I39,117:117)-SUMIF(116:116,C39,117:117)+100</f>
        <v>100</v>
      </c>
      <c r="K39" s="3209">
        <v>1</v>
      </c>
      <c r="L39" s="2122"/>
      <c r="M39" s="2114"/>
      <c r="N39" s="2114"/>
      <c r="O39" s="2121"/>
      <c r="P39" s="3600"/>
      <c r="Q39" s="1553" t="str">
        <f t="shared" si="8"/>
        <v>市政基础设施</v>
      </c>
      <c r="R39" s="1554" t="s">
        <v>11</v>
      </c>
      <c r="S39" s="1555">
        <f t="shared" si="9"/>
        <v>100</v>
      </c>
      <c r="T39" s="1554" t="s">
        <v>11</v>
      </c>
      <c r="U39" s="1555">
        <f t="shared" si="10"/>
        <v>100</v>
      </c>
      <c r="V39" s="1554" t="s">
        <v>11</v>
      </c>
      <c r="W39" s="1555">
        <f t="shared" si="11"/>
        <v>100</v>
      </c>
      <c r="X39" s="1548"/>
      <c r="Y39" s="3600"/>
      <c r="Z39" s="1556" t="str">
        <f t="shared" si="12"/>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600"/>
      <c r="Q40" s="1553" t="str">
        <f t="shared" si="8"/>
        <v>房型</v>
      </c>
      <c r="R40" s="1554" t="s">
        <v>11</v>
      </c>
      <c r="S40" s="1555">
        <f t="shared" si="9"/>
        <v>100</v>
      </c>
      <c r="T40" s="1554" t="s">
        <v>11</v>
      </c>
      <c r="U40" s="1555">
        <f t="shared" si="10"/>
        <v>100</v>
      </c>
      <c r="V40" s="1554" t="s">
        <v>11</v>
      </c>
      <c r="W40" s="1555">
        <f t="shared" si="11"/>
        <v>100</v>
      </c>
      <c r="X40" s="1548"/>
      <c r="Y40" s="3600"/>
      <c r="Z40" s="1556" t="str">
        <f t="shared" si="12"/>
        <v>房型</v>
      </c>
      <c r="AA40" s="1557">
        <f t="shared" si="3"/>
        <v>1</v>
      </c>
      <c r="AB40" s="1557">
        <f t="shared" si="4"/>
        <v>1</v>
      </c>
      <c r="AC40" s="1557">
        <f t="shared" si="5"/>
        <v>1</v>
      </c>
    </row>
    <row r="41" spans="1:29" s="1331" customFormat="1" ht="28.8">
      <c r="A41" s="600"/>
      <c r="B41" s="524" t="s">
        <v>733</v>
      </c>
      <c r="C41" s="3202"/>
      <c r="D41" s="252">
        <v>100</v>
      </c>
      <c r="E41" s="3202"/>
      <c r="F41" s="860">
        <f>SUMIF(120:120,E41,121:121)-SUMIF(120:120,C41,121:121)+100</f>
        <v>100</v>
      </c>
      <c r="G41" s="3202"/>
      <c r="H41" s="252">
        <f>SUMIF(120:120,G41,121:121)-SUMIF(120:120,C41,121:121)+100</f>
        <v>100</v>
      </c>
      <c r="I41" s="3202"/>
      <c r="J41" s="537">
        <f>SUMIF(120:120,I41,121:121)-SUMIF(120:120,C41,121:121)+100</f>
        <v>100</v>
      </c>
      <c r="K41" s="862"/>
      <c r="L41" s="2120"/>
      <c r="M41" s="2151"/>
      <c r="N41" s="2151"/>
      <c r="O41" s="2123"/>
      <c r="P41" s="3600"/>
      <c r="Q41" s="1585" t="str">
        <f t="shared" si="8"/>
        <v>单套/主力户型建筑面积</v>
      </c>
      <c r="R41" s="1558" t="s">
        <v>11</v>
      </c>
      <c r="S41" s="1559">
        <f t="shared" si="9"/>
        <v>100</v>
      </c>
      <c r="T41" s="1558" t="s">
        <v>11</v>
      </c>
      <c r="U41" s="1559">
        <f t="shared" si="10"/>
        <v>100</v>
      </c>
      <c r="V41" s="1558" t="s">
        <v>11</v>
      </c>
      <c r="W41" s="1559">
        <f t="shared" si="11"/>
        <v>100</v>
      </c>
      <c r="X41" s="1560"/>
      <c r="Y41" s="3600"/>
      <c r="Z41" s="1561" t="str">
        <f t="shared" si="12"/>
        <v>单套/主力户型建筑面积</v>
      </c>
      <c r="AA41" s="1557">
        <f t="shared" si="3"/>
        <v>1</v>
      </c>
      <c r="AB41" s="1557">
        <f t="shared" si="4"/>
        <v>1</v>
      </c>
      <c r="AC41" s="1557">
        <f t="shared" si="5"/>
        <v>1</v>
      </c>
    </row>
    <row r="42" spans="1:29" ht="15">
      <c r="A42" s="591"/>
      <c r="B42" s="524" t="s">
        <v>734</v>
      </c>
      <c r="C42" s="596" t="s">
        <v>3089</v>
      </c>
      <c r="D42" s="537">
        <v>100</v>
      </c>
      <c r="E42" s="596" t="s">
        <v>3089</v>
      </c>
      <c r="F42" s="572">
        <f>SUMIF(122:122,E42,123:123)-SUMIF(122:122,C42,123:123)+100</f>
        <v>100</v>
      </c>
      <c r="G42" s="596" t="s">
        <v>3089</v>
      </c>
      <c r="H42" s="537">
        <f>SUMIF(122:122,G42,123:123)-SUMIF(122:122,C42,123:123)+100</f>
        <v>100</v>
      </c>
      <c r="I42" s="596" t="s">
        <v>3089</v>
      </c>
      <c r="J42" s="537">
        <f>SUMIF(122:122,I42,123:123)-SUMIF(122:122,C42,123:123)+100</f>
        <v>100</v>
      </c>
      <c r="K42" s="3215">
        <v>2</v>
      </c>
      <c r="L42" s="2122"/>
      <c r="M42" s="2114"/>
      <c r="N42" s="2114"/>
      <c r="O42" s="2121"/>
      <c r="P42" s="3600"/>
      <c r="Q42" s="1553" t="str">
        <f t="shared" si="8"/>
        <v>内部装修</v>
      </c>
      <c r="R42" s="1554" t="s">
        <v>11</v>
      </c>
      <c r="S42" s="1555">
        <f t="shared" si="9"/>
        <v>100</v>
      </c>
      <c r="T42" s="1554" t="s">
        <v>11</v>
      </c>
      <c r="U42" s="1555">
        <f t="shared" si="10"/>
        <v>100</v>
      </c>
      <c r="V42" s="1554" t="s">
        <v>11</v>
      </c>
      <c r="W42" s="1555">
        <f t="shared" si="11"/>
        <v>100</v>
      </c>
      <c r="X42" s="1548"/>
      <c r="Y42" s="3600"/>
      <c r="Z42" s="1556" t="str">
        <f t="shared" si="12"/>
        <v>内部装修</v>
      </c>
      <c r="AA42" s="1557">
        <f t="shared" si="3"/>
        <v>1</v>
      </c>
      <c r="AB42" s="1557">
        <f t="shared" si="4"/>
        <v>1</v>
      </c>
      <c r="AC42" s="1557">
        <f t="shared" si="5"/>
        <v>1</v>
      </c>
    </row>
    <row r="43" spans="1:29" ht="28.8">
      <c r="A43" s="591"/>
      <c r="B43" s="524" t="s">
        <v>735</v>
      </c>
      <c r="C43" s="596" t="s">
        <v>3056</v>
      </c>
      <c r="D43" s="537">
        <v>100</v>
      </c>
      <c r="E43" s="596" t="s">
        <v>3056</v>
      </c>
      <c r="F43" s="572">
        <f>SUMIF(124:124,E43,125:125)-SUMIF(124:124,C43,125:125)+100</f>
        <v>100</v>
      </c>
      <c r="G43" s="596" t="s">
        <v>3056</v>
      </c>
      <c r="H43" s="537">
        <f>SUMIF(124:124,G43,125:125)-SUMIF(124:124,C43,125:125)+100</f>
        <v>100</v>
      </c>
      <c r="I43" s="596" t="s">
        <v>3056</v>
      </c>
      <c r="J43" s="537">
        <f>SUMIF(124:124,I43,125:125)-SUMIF(124:124,C43,125:125)+100</f>
        <v>100</v>
      </c>
      <c r="K43" s="861">
        <v>2</v>
      </c>
      <c r="L43" s="2122"/>
      <c r="M43" s="2114"/>
      <c r="N43" s="2114"/>
      <c r="O43" s="2121"/>
      <c r="P43" s="3600"/>
      <c r="Q43" s="1553" t="str">
        <f t="shared" si="8"/>
        <v>内部装修维护情况</v>
      </c>
      <c r="R43" s="1554" t="s">
        <v>11</v>
      </c>
      <c r="S43" s="1555">
        <f t="shared" si="9"/>
        <v>100</v>
      </c>
      <c r="T43" s="1554" t="s">
        <v>11</v>
      </c>
      <c r="U43" s="1555">
        <f t="shared" si="10"/>
        <v>100</v>
      </c>
      <c r="V43" s="1554" t="s">
        <v>11</v>
      </c>
      <c r="W43" s="1555">
        <f t="shared" si="11"/>
        <v>100</v>
      </c>
      <c r="X43" s="1548"/>
      <c r="Y43" s="3600"/>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600"/>
      <c r="Q44" s="1143">
        <f t="shared" si="8"/>
        <v>111</v>
      </c>
      <c r="R44" s="1549" t="s">
        <v>11</v>
      </c>
      <c r="S44" s="1550">
        <f t="shared" si="9"/>
        <v>100</v>
      </c>
      <c r="T44" s="1549" t="s">
        <v>11</v>
      </c>
      <c r="U44" s="1550">
        <f t="shared" si="10"/>
        <v>100</v>
      </c>
      <c r="V44" s="1549" t="s">
        <v>11</v>
      </c>
      <c r="W44" s="1550">
        <f t="shared" si="11"/>
        <v>100</v>
      </c>
      <c r="X44" s="1551"/>
      <c r="Y44" s="3600"/>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600"/>
      <c r="Q45" s="1553">
        <f t="shared" si="8"/>
        <v>111</v>
      </c>
      <c r="R45" s="1554" t="s">
        <v>11</v>
      </c>
      <c r="S45" s="1555">
        <f t="shared" si="9"/>
        <v>100</v>
      </c>
      <c r="T45" s="1554" t="s">
        <v>11</v>
      </c>
      <c r="U45" s="1555">
        <f t="shared" si="10"/>
        <v>100</v>
      </c>
      <c r="V45" s="1554" t="s">
        <v>11</v>
      </c>
      <c r="W45" s="1555">
        <f t="shared" si="11"/>
        <v>100</v>
      </c>
      <c r="X45" s="1548"/>
      <c r="Y45" s="3600"/>
      <c r="Z45" s="1556">
        <f t="shared" si="12"/>
        <v>111</v>
      </c>
      <c r="AA45" s="1557">
        <f t="shared" si="3"/>
        <v>1</v>
      </c>
      <c r="AB45" s="1557">
        <f t="shared" si="4"/>
        <v>1</v>
      </c>
      <c r="AC45" s="1557">
        <f t="shared" si="5"/>
        <v>1</v>
      </c>
    </row>
    <row r="46" spans="1:29" ht="15.6"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640"/>
      <c r="Q46" s="1553">
        <f t="shared" si="8"/>
        <v>111</v>
      </c>
      <c r="R46" s="1554" t="s">
        <v>10</v>
      </c>
      <c r="S46" s="1555">
        <f t="shared" si="9"/>
        <v>100</v>
      </c>
      <c r="T46" s="1554" t="s">
        <v>10</v>
      </c>
      <c r="U46" s="1555">
        <f t="shared" si="10"/>
        <v>100</v>
      </c>
      <c r="V46" s="1554" t="s">
        <v>10</v>
      </c>
      <c r="W46" s="1555">
        <f t="shared" si="11"/>
        <v>100</v>
      </c>
      <c r="X46" s="1548"/>
      <c r="Y46" s="3640"/>
      <c r="Z46" s="1556">
        <f t="shared" si="12"/>
        <v>111</v>
      </c>
      <c r="AA46" s="1557">
        <f t="shared" si="3"/>
        <v>1</v>
      </c>
      <c r="AB46" s="1557">
        <f t="shared" si="4"/>
        <v>1</v>
      </c>
      <c r="AC46" s="1557">
        <f t="shared" si="5"/>
        <v>1</v>
      </c>
    </row>
    <row r="47" spans="1:29" ht="14.4">
      <c r="A47" s="604" t="s">
        <v>736</v>
      </c>
      <c r="B47" s="883"/>
      <c r="C47" s="2586" t="s">
        <v>9</v>
      </c>
      <c r="D47" s="2587"/>
      <c r="E47" s="2588">
        <v>18788</v>
      </c>
      <c r="F47" s="2589"/>
      <c r="G47" s="2590">
        <v>27000</v>
      </c>
      <c r="H47" s="2591"/>
      <c r="I47" s="2588">
        <v>27000</v>
      </c>
      <c r="J47" s="2591"/>
      <c r="K47" s="1586"/>
      <c r="L47" s="2124"/>
      <c r="M47" s="2125"/>
      <c r="N47" s="2114"/>
      <c r="O47" s="2125"/>
      <c r="P47" s="3562" t="str">
        <f>A47</f>
        <v>成交单价（元/平方米）</v>
      </c>
      <c r="Q47" s="3562"/>
      <c r="R47" s="3639">
        <f>E47</f>
        <v>18788</v>
      </c>
      <c r="S47" s="3639"/>
      <c r="T47" s="3639">
        <f>G47</f>
        <v>27000</v>
      </c>
      <c r="U47" s="3639"/>
      <c r="V47" s="3639">
        <f>I47</f>
        <v>27000</v>
      </c>
      <c r="W47" s="3639"/>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87"/>
      <c r="L48" s="2124"/>
      <c r="M48" s="2125"/>
      <c r="N48" s="2125"/>
      <c r="O48" s="2125"/>
      <c r="P48" s="3562" t="str">
        <f>A48</f>
        <v>比较价格（元/平方米）</v>
      </c>
      <c r="Q48" s="3562"/>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88"/>
      <c r="L49" s="2124"/>
      <c r="M49" s="2125"/>
      <c r="N49" s="2125"/>
      <c r="O49" s="2125"/>
      <c r="P49" s="3559" t="str">
        <f>A49</f>
        <v>估价对象XX用房的比较价格（楼面单价，元/平方米）</v>
      </c>
      <c r="Q49" s="3560"/>
      <c r="R49" s="3638" t="e">
        <f>IF(F1="售价",ROUND(AVERAGE(R48:V48),0),ROUND(AVERAGE(R48:V48),1))</f>
        <v>#DIV/0!</v>
      </c>
      <c r="S49" s="3638"/>
      <c r="T49" s="3638"/>
      <c r="U49" s="3638"/>
      <c r="V49" s="3638"/>
      <c r="W49" s="3638"/>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4"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7"/>
      <c r="N59" s="647"/>
      <c r="O59" s="647"/>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ht="14.4">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 t="shared" ref="D66:I66" si="14">C66-$K10</f>
        <v>99</v>
      </c>
      <c r="E66" s="676">
        <f t="shared" si="14"/>
        <v>98</v>
      </c>
      <c r="F66" s="676">
        <f t="shared" si="14"/>
        <v>97</v>
      </c>
      <c r="G66" s="676">
        <f t="shared" si="14"/>
        <v>96</v>
      </c>
      <c r="H66" s="676">
        <f t="shared" si="14"/>
        <v>95</v>
      </c>
      <c r="I66" s="676">
        <f t="shared" si="14"/>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1（含）-2</v>
      </c>
      <c r="D67" s="679" t="str">
        <f t="shared" ref="D67:L67" si="15">D68&amp;"（含）"&amp;"-"&amp;E68</f>
        <v>2（含）-3</v>
      </c>
      <c r="E67" s="679" t="str">
        <f t="shared" si="15"/>
        <v>3（含）-4</v>
      </c>
      <c r="F67" s="679" t="str">
        <f t="shared" si="15"/>
        <v>4（含）-5</v>
      </c>
      <c r="G67" s="679" t="str">
        <f t="shared" si="15"/>
        <v>5（含）-6</v>
      </c>
      <c r="H67" s="679" t="str">
        <f t="shared" si="15"/>
        <v>6（含）-</v>
      </c>
      <c r="I67" s="679" t="str">
        <f t="shared" si="15"/>
        <v>（含）-</v>
      </c>
      <c r="J67" s="679" t="str">
        <f t="shared" si="15"/>
        <v>（含）-</v>
      </c>
      <c r="K67" s="679" t="str">
        <f t="shared" si="15"/>
        <v>（含）-</v>
      </c>
      <c r="L67" s="679" t="str">
        <f t="shared" si="15"/>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3204">
        <v>1</v>
      </c>
      <c r="D68" s="3204">
        <v>2</v>
      </c>
      <c r="E68" s="3204">
        <v>3</v>
      </c>
      <c r="F68" s="3204">
        <v>4</v>
      </c>
      <c r="G68" s="3204">
        <v>5</v>
      </c>
      <c r="H68" s="3204">
        <v>6</v>
      </c>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6">C69-$K11</f>
        <v>100</v>
      </c>
      <c r="E69" s="676">
        <f t="shared" si="16"/>
        <v>100</v>
      </c>
      <c r="F69" s="676">
        <f t="shared" si="16"/>
        <v>100</v>
      </c>
      <c r="G69" s="676">
        <f t="shared" si="16"/>
        <v>100</v>
      </c>
      <c r="H69" s="676">
        <f t="shared" si="16"/>
        <v>100</v>
      </c>
      <c r="I69" s="676">
        <f t="shared" si="16"/>
        <v>100</v>
      </c>
      <c r="J69" s="676">
        <f t="shared" si="16"/>
        <v>100</v>
      </c>
      <c r="K69" s="676">
        <f t="shared" si="16"/>
        <v>100</v>
      </c>
      <c r="L69" s="676">
        <f t="shared" si="16"/>
        <v>100</v>
      </c>
      <c r="M69" s="677">
        <f t="shared" si="16"/>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95</v>
      </c>
      <c r="E79" s="676">
        <f>D79-$K17</f>
        <v>90</v>
      </c>
      <c r="F79" s="676">
        <f>E79-$K17</f>
        <v>85</v>
      </c>
      <c r="G79" s="676">
        <f>F79-$K17</f>
        <v>80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99</v>
      </c>
      <c r="E83" s="676">
        <f>D83-$K21</f>
        <v>98</v>
      </c>
      <c r="F83" s="676">
        <f>E83-$K21</f>
        <v>97</v>
      </c>
      <c r="G83" s="676">
        <f>F83-$K21</f>
        <v>96</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95</v>
      </c>
      <c r="E85" s="676">
        <f>D85-$K23</f>
        <v>90</v>
      </c>
      <c r="F85" s="676">
        <f>E85-$K23</f>
        <v>85</v>
      </c>
      <c r="G85" s="676">
        <f>F85-$K23</f>
        <v>80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1876" t="s">
        <v>2255</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$C$87-($C$86-D86)*$K$25</f>
        <v>100</v>
      </c>
      <c r="E87" s="676">
        <f t="shared" ref="E87:M87" si="17">$C$87-($C$86-E86)*$K$25</f>
        <v>100</v>
      </c>
      <c r="F87" s="676">
        <f t="shared" si="17"/>
        <v>100</v>
      </c>
      <c r="G87" s="676">
        <f t="shared" si="17"/>
        <v>100</v>
      </c>
      <c r="H87" s="676">
        <f t="shared" si="17"/>
        <v>100</v>
      </c>
      <c r="I87" s="676">
        <f t="shared" si="17"/>
        <v>100</v>
      </c>
      <c r="J87" s="676">
        <f t="shared" si="17"/>
        <v>100</v>
      </c>
      <c r="K87" s="676">
        <f t="shared" si="17"/>
        <v>100</v>
      </c>
      <c r="L87" s="676">
        <f t="shared" si="17"/>
        <v>100</v>
      </c>
      <c r="M87" s="676">
        <f t="shared" si="17"/>
        <v>100</v>
      </c>
      <c r="N87" s="2146"/>
      <c r="O87" s="2146"/>
      <c r="P87" s="2145"/>
      <c r="Q87" s="2138"/>
      <c r="R87" s="1973"/>
      <c r="S87" s="1973"/>
      <c r="T87" s="1973"/>
      <c r="U87" s="1973"/>
      <c r="V87" s="1973"/>
      <c r="W87" s="1973"/>
      <c r="X87" s="1973"/>
      <c r="Y87" s="1973"/>
      <c r="Z87" s="1973"/>
      <c r="AA87" s="1973"/>
      <c r="AB87" s="1973"/>
      <c r="AC87" s="1973"/>
    </row>
    <row r="88" spans="1:29" s="1212" customFormat="1" ht="15"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709">
        <v>100</v>
      </c>
      <c r="D89" s="676">
        <f t="shared" ref="D89:M89" si="18">C89-$K26</f>
        <v>100</v>
      </c>
      <c r="E89" s="676">
        <f t="shared" si="18"/>
        <v>100</v>
      </c>
      <c r="F89" s="676">
        <f t="shared" si="18"/>
        <v>100</v>
      </c>
      <c r="G89" s="676">
        <f t="shared" si="18"/>
        <v>100</v>
      </c>
      <c r="H89" s="676">
        <f t="shared" si="18"/>
        <v>100</v>
      </c>
      <c r="I89" s="676">
        <f t="shared" si="18"/>
        <v>100</v>
      </c>
      <c r="J89" s="676">
        <f t="shared" si="18"/>
        <v>100</v>
      </c>
      <c r="K89" s="676">
        <f t="shared" si="18"/>
        <v>100</v>
      </c>
      <c r="L89" s="676">
        <f t="shared" si="18"/>
        <v>100</v>
      </c>
      <c r="M89" s="676">
        <f t="shared" si="18"/>
        <v>100</v>
      </c>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4.4"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747</v>
      </c>
      <c r="C100" s="3205" t="s">
        <v>2257</v>
      </c>
      <c r="D100" s="3206" t="s">
        <v>2258</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19">C101-$K32</f>
        <v>97</v>
      </c>
      <c r="E101" s="676">
        <f t="shared" si="19"/>
        <v>94</v>
      </c>
      <c r="F101" s="676">
        <f t="shared" si="19"/>
        <v>91</v>
      </c>
      <c r="G101" s="676">
        <f t="shared" si="19"/>
        <v>88</v>
      </c>
      <c r="H101" s="676">
        <f t="shared" si="19"/>
        <v>85</v>
      </c>
      <c r="I101" s="676">
        <f t="shared" si="19"/>
        <v>82</v>
      </c>
      <c r="J101" s="676">
        <f t="shared" si="19"/>
        <v>79</v>
      </c>
      <c r="K101" s="676">
        <f t="shared" si="19"/>
        <v>76</v>
      </c>
      <c r="L101" s="676">
        <f t="shared" si="19"/>
        <v>73</v>
      </c>
      <c r="M101" s="676">
        <f t="shared" si="19"/>
        <v>70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0(含)-100</v>
      </c>
      <c r="D102" s="705" t="str">
        <f t="shared" ref="D102:L102" si="20">D103&amp;"(含)"&amp;"-"&amp;E103</f>
        <v>100(含)-200</v>
      </c>
      <c r="E102" s="705" t="str">
        <f t="shared" si="20"/>
        <v>200(含)-300</v>
      </c>
      <c r="F102" s="705" t="str">
        <f t="shared" si="20"/>
        <v>300(含)-</v>
      </c>
      <c r="G102" s="705" t="str">
        <f t="shared" si="20"/>
        <v>(含)-</v>
      </c>
      <c r="H102" s="705" t="str">
        <f t="shared" si="20"/>
        <v>(含)-</v>
      </c>
      <c r="I102" s="705" t="str">
        <f t="shared" si="20"/>
        <v>(含)-</v>
      </c>
      <c r="J102" s="705" t="str">
        <f t="shared" si="20"/>
        <v>(含)-</v>
      </c>
      <c r="K102" s="705" t="str">
        <f t="shared" si="20"/>
        <v>(含)-</v>
      </c>
      <c r="L102" s="705" t="str">
        <f t="shared" si="20"/>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v>
      </c>
      <c r="E103" s="727">
        <v>200</v>
      </c>
      <c r="F103" s="727">
        <v>300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v>100</v>
      </c>
      <c r="D104" s="668">
        <f>C104-2</f>
        <v>98</v>
      </c>
      <c r="E104" s="668">
        <f>D104-2</f>
        <v>96</v>
      </c>
      <c r="F104" s="668">
        <f>E104-2</f>
        <v>94</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7" t="s">
        <v>3091</v>
      </c>
      <c r="D105" s="3207" t="s">
        <v>2369</v>
      </c>
      <c r="E105" s="3208" t="s">
        <v>2370</v>
      </c>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1">C106-$K34</f>
        <v>98</v>
      </c>
      <c r="E106" s="676">
        <f t="shared" si="21"/>
        <v>96</v>
      </c>
      <c r="F106" s="676">
        <f t="shared" si="21"/>
        <v>94</v>
      </c>
      <c r="G106" s="676">
        <f t="shared" si="21"/>
        <v>92</v>
      </c>
      <c r="H106" s="676">
        <f t="shared" si="21"/>
        <v>90</v>
      </c>
      <c r="I106" s="676">
        <f t="shared" si="21"/>
        <v>88</v>
      </c>
      <c r="J106" s="676">
        <f t="shared" si="21"/>
        <v>86</v>
      </c>
      <c r="K106" s="676">
        <f t="shared" si="21"/>
        <v>84</v>
      </c>
      <c r="L106" s="676">
        <f t="shared" si="21"/>
        <v>82</v>
      </c>
      <c r="M106" s="676">
        <f t="shared" si="21"/>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8" t="s">
        <v>3092</v>
      </c>
      <c r="D107" s="3208" t="s">
        <v>3093</v>
      </c>
      <c r="E107" s="71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2">C108-$K35</f>
        <v>98</v>
      </c>
      <c r="E108" s="676">
        <f t="shared" si="22"/>
        <v>96</v>
      </c>
      <c r="F108" s="676">
        <f t="shared" si="22"/>
        <v>94</v>
      </c>
      <c r="G108" s="676">
        <f t="shared" si="22"/>
        <v>92</v>
      </c>
      <c r="H108" s="676">
        <f t="shared" si="22"/>
        <v>90</v>
      </c>
      <c r="I108" s="676">
        <f t="shared" si="22"/>
        <v>88</v>
      </c>
      <c r="J108" s="676">
        <f t="shared" si="22"/>
        <v>86</v>
      </c>
      <c r="K108" s="676">
        <f t="shared" si="22"/>
        <v>84</v>
      </c>
      <c r="L108" s="676">
        <f t="shared" si="22"/>
        <v>82</v>
      </c>
      <c r="M108" s="676">
        <f t="shared" si="22"/>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7" t="s">
        <v>3094</v>
      </c>
      <c r="D109" s="3207" t="s">
        <v>3095</v>
      </c>
      <c r="E109" s="3207" t="s">
        <v>3096</v>
      </c>
      <c r="F109" s="3208" t="s">
        <v>3097</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4.4" thickBot="1">
      <c r="A110" s="666"/>
      <c r="B110" s="675"/>
      <c r="C110" s="676">
        <v>100</v>
      </c>
      <c r="D110" s="676">
        <f t="shared" ref="D110:M110" si="23">C110-$K36</f>
        <v>98</v>
      </c>
      <c r="E110" s="676">
        <f t="shared" si="23"/>
        <v>96</v>
      </c>
      <c r="F110" s="676">
        <f t="shared" si="23"/>
        <v>94</v>
      </c>
      <c r="G110" s="676">
        <f t="shared" si="23"/>
        <v>92</v>
      </c>
      <c r="H110" s="676">
        <f t="shared" si="23"/>
        <v>90</v>
      </c>
      <c r="I110" s="676">
        <f t="shared" si="23"/>
        <v>88</v>
      </c>
      <c r="J110" s="676">
        <f t="shared" si="23"/>
        <v>86</v>
      </c>
      <c r="K110" s="676">
        <f t="shared" si="23"/>
        <v>84</v>
      </c>
      <c r="L110" s="676">
        <f t="shared" si="23"/>
        <v>82</v>
      </c>
      <c r="M110" s="676">
        <f t="shared" si="23"/>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7" t="s">
        <v>3098</v>
      </c>
      <c r="D114" s="3207" t="s">
        <v>3099</v>
      </c>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4">C115-$K38</f>
        <v>98</v>
      </c>
      <c r="E115" s="676">
        <f t="shared" si="24"/>
        <v>96</v>
      </c>
      <c r="F115" s="676">
        <f t="shared" si="24"/>
        <v>94</v>
      </c>
      <c r="G115" s="676">
        <f t="shared" si="24"/>
        <v>92</v>
      </c>
      <c r="H115" s="676">
        <f t="shared" si="24"/>
        <v>90</v>
      </c>
      <c r="I115" s="676">
        <f t="shared" si="24"/>
        <v>88</v>
      </c>
      <c r="J115" s="676">
        <f t="shared" si="24"/>
        <v>86</v>
      </c>
      <c r="K115" s="676">
        <f t="shared" si="24"/>
        <v>84</v>
      </c>
      <c r="L115" s="676">
        <f t="shared" si="24"/>
        <v>82</v>
      </c>
      <c r="M115" s="676">
        <f t="shared" si="24"/>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2553</v>
      </c>
      <c r="C116" s="3207" t="s">
        <v>1982</v>
      </c>
      <c r="D116" s="3207" t="s">
        <v>1981</v>
      </c>
      <c r="E116" s="3207" t="s">
        <v>1980</v>
      </c>
      <c r="F116" s="3207" t="s">
        <v>1979</v>
      </c>
      <c r="G116" s="3207" t="s">
        <v>1978</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76">
        <v>100</v>
      </c>
      <c r="D119" s="676">
        <f t="shared" ref="D119:M119" si="25">C119-$K40</f>
        <v>100</v>
      </c>
      <c r="E119" s="676">
        <f t="shared" si="25"/>
        <v>100</v>
      </c>
      <c r="F119" s="676">
        <f t="shared" si="25"/>
        <v>100</v>
      </c>
      <c r="G119" s="676">
        <f t="shared" si="25"/>
        <v>100</v>
      </c>
      <c r="H119" s="676">
        <f t="shared" si="25"/>
        <v>100</v>
      </c>
      <c r="I119" s="676">
        <f t="shared" si="25"/>
        <v>100</v>
      </c>
      <c r="J119" s="676">
        <f t="shared" si="25"/>
        <v>100</v>
      </c>
      <c r="K119" s="676">
        <f t="shared" si="25"/>
        <v>100</v>
      </c>
      <c r="L119" s="676">
        <f t="shared" si="25"/>
        <v>100</v>
      </c>
      <c r="M119" s="676">
        <f t="shared" si="25"/>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9.4"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7" t="s">
        <v>3094</v>
      </c>
      <c r="D122" s="3207" t="s">
        <v>3095</v>
      </c>
      <c r="E122" s="3207" t="s">
        <v>3096</v>
      </c>
      <c r="F122" s="3208" t="s">
        <v>3097</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26">C123-$K42</f>
        <v>98</v>
      </c>
      <c r="E123" s="676">
        <f t="shared" si="26"/>
        <v>96</v>
      </c>
      <c r="F123" s="676">
        <f t="shared" si="26"/>
        <v>94</v>
      </c>
      <c r="G123" s="676">
        <f t="shared" si="26"/>
        <v>92</v>
      </c>
      <c r="H123" s="676">
        <f t="shared" si="26"/>
        <v>90</v>
      </c>
      <c r="I123" s="676">
        <f t="shared" si="26"/>
        <v>88</v>
      </c>
      <c r="J123" s="676">
        <f t="shared" si="26"/>
        <v>86</v>
      </c>
      <c r="K123" s="676">
        <f t="shared" si="26"/>
        <v>84</v>
      </c>
      <c r="L123" s="676">
        <f t="shared" si="26"/>
        <v>82</v>
      </c>
      <c r="M123" s="676">
        <f t="shared" si="26"/>
        <v>80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2256</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ht="15.6">
      <c r="A137" s="2159"/>
      <c r="B137" s="1898" t="s">
        <v>2257</v>
      </c>
      <c r="C137" s="1899"/>
      <c r="D137" s="1899"/>
      <c r="E137" s="1899"/>
      <c r="F137" s="1899"/>
      <c r="G137" s="1900"/>
      <c r="H137" s="1901"/>
      <c r="I137" s="1902" t="s">
        <v>2258</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ht="15.6">
      <c r="A138" s="2159"/>
      <c r="B138" s="1904"/>
      <c r="C138" s="1905" t="s">
        <v>2259</v>
      </c>
      <c r="D138" s="1905" t="s">
        <v>2260</v>
      </c>
      <c r="E138" s="1906" t="s">
        <v>2261</v>
      </c>
      <c r="F138" s="1907" t="s">
        <v>2262</v>
      </c>
      <c r="G138" s="1905" t="s">
        <v>2263</v>
      </c>
      <c r="H138" s="1908" t="s">
        <v>2264</v>
      </c>
      <c r="I138" s="1909"/>
      <c r="J138" s="1905" t="s">
        <v>2265</v>
      </c>
      <c r="K138" s="1908" t="s">
        <v>2266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2267</v>
      </c>
      <c r="E139" s="1879">
        <v>100</v>
      </c>
      <c r="F139" s="1880">
        <v>102.5</v>
      </c>
      <c r="G139" s="1910" t="s">
        <v>2268</v>
      </c>
      <c r="H139" s="1881">
        <v>105</v>
      </c>
      <c r="I139" s="1911" t="s">
        <v>2269</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6">
      <c r="A140" s="2159"/>
      <c r="B140" s="1883">
        <v>5</v>
      </c>
      <c r="C140" s="1884">
        <v>100</v>
      </c>
      <c r="D140" s="1912"/>
      <c r="E140" s="1885"/>
      <c r="F140" s="1886">
        <v>102</v>
      </c>
      <c r="G140" s="1912"/>
      <c r="H140" s="1887"/>
      <c r="I140" s="1913" t="s">
        <v>2270</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6">
      <c r="A141" s="2159"/>
      <c r="B141" s="1883">
        <v>4</v>
      </c>
      <c r="C141" s="1884">
        <v>102</v>
      </c>
      <c r="D141" s="1912"/>
      <c r="E141" s="1885"/>
      <c r="F141" s="1886">
        <v>101.5</v>
      </c>
      <c r="G141" s="1912"/>
      <c r="H141" s="1887"/>
      <c r="I141" s="1913" t="s">
        <v>2271</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6">
      <c r="A142" s="2159"/>
      <c r="B142" s="1883">
        <v>3</v>
      </c>
      <c r="C142" s="1884">
        <v>103</v>
      </c>
      <c r="D142" s="1912"/>
      <c r="E142" s="1885"/>
      <c r="F142" s="1886">
        <v>101</v>
      </c>
      <c r="G142" s="1912"/>
      <c r="H142" s="1887"/>
      <c r="I142" s="1913" t="s">
        <v>2272</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6">
      <c r="A143" s="2159"/>
      <c r="B143" s="1883">
        <v>2</v>
      </c>
      <c r="C143" s="1884">
        <v>100</v>
      </c>
      <c r="D143" s="1912"/>
      <c r="E143" s="1885"/>
      <c r="F143" s="1886">
        <v>100.5</v>
      </c>
      <c r="G143" s="1912"/>
      <c r="H143" s="1887"/>
      <c r="I143" s="1913" t="s">
        <v>2273</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2274</v>
      </c>
      <c r="E144" s="1885">
        <v>102</v>
      </c>
      <c r="F144" s="1891">
        <v>100</v>
      </c>
      <c r="G144" s="1914" t="s">
        <v>2274</v>
      </c>
      <c r="H144" s="1887">
        <v>105</v>
      </c>
      <c r="I144" s="1913" t="s">
        <v>2273</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6.2" thickBot="1">
      <c r="A145" s="2159"/>
      <c r="B145" s="1915" t="s">
        <v>2275</v>
      </c>
      <c r="C145" s="1892">
        <f>ROUND(MAX(C139:C144)/MIN(C139:C144)-1,3)</f>
        <v>7.2999999999999995E-2</v>
      </c>
      <c r="D145" s="1916"/>
      <c r="E145" s="1916"/>
      <c r="F145" s="1917" t="s">
        <v>2276</v>
      </c>
      <c r="G145" s="1918"/>
      <c r="H145" s="1919"/>
      <c r="I145" s="1920" t="s">
        <v>2273</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ht="14.4">
      <c r="A147" s="2159"/>
      <c r="B147" s="1939" t="s">
        <v>2285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ht="14.4">
      <c r="A148" s="2159"/>
      <c r="B148" s="1939" t="s">
        <v>2286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7" spans="1:4" ht="52.2">
      <c r="A7" s="1775" t="s">
        <v>2743</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2020年7月15日（评估专业人员勘察现场之日）</v>
      </c>
    </row>
    <row r="12" spans="1:4" ht="17.399999999999999">
      <c r="A12" s="1777" t="s">
        <v>2023</v>
      </c>
    </row>
    <row r="13" spans="1:4" ht="17.399999999999999">
      <c r="A13" s="1771" t="s">
        <v>2934</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根据《国有土地使用证》[]，估价对象（分摊）出让国有建设用地使用权面积为40278.8平方米。根据《建设工程规划许可证》[]、《出让合同》[]，估价对象规划建筑面积为155053平方米。</v>
      </c>
    </row>
    <row r="21" spans="1:1" ht="17.399999999999999">
      <c r="A21" s="1771" t="s">
        <v>2072</v>
      </c>
    </row>
    <row r="22" spans="1:1" ht="87">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7.399999999999999">
      <c r="A23" s="1771" t="str">
        <f>IF(项目基本情况!B16="出让","本次评估设定估价对象剩余土地使用年限为"&amp;项目基本情况!D20&amp;"。","")</f>
        <v>本次评估设定估价对象剩余土地使用年限为。</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52.2">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IF(项目基本情况!B9="市场价格","——",IF(项目基本情况!E9="——","",定义!C57))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G76"/>
  <sheetViews>
    <sheetView topLeftCell="A22" zoomScale="80" zoomScaleNormal="80" workbookViewId="0">
      <selection activeCell="C36" sqref="C36:C40"/>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2991</v>
      </c>
      <c r="D1" s="3063" t="s">
        <v>3055</v>
      </c>
      <c r="E1" s="2346" t="s">
        <v>870</v>
      </c>
      <c r="F1" s="2347">
        <f ca="1">J53</f>
        <v>37.18</v>
      </c>
      <c r="G1" s="771">
        <f>MATCH(C1,'数据-取费表'!A6:A16,0)+5</f>
        <v>6</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f ca="1">C40+J29+L46</f>
        <v>212809</v>
      </c>
      <c r="C2" s="2037"/>
      <c r="D2" s="2035"/>
      <c r="E2" s="2036"/>
      <c r="F2" s="2036"/>
      <c r="G2" s="1571"/>
      <c r="H2" s="2037"/>
      <c r="I2" s="2037"/>
      <c r="J2" s="2037"/>
      <c r="K2" s="2038"/>
      <c r="L2" s="2037"/>
      <c r="M2" s="2037"/>
    </row>
    <row r="3" spans="1:33" ht="18" customHeight="1" thickBot="1">
      <c r="A3" s="830" t="s">
        <v>519</v>
      </c>
      <c r="B3" s="831">
        <f ca="1">IF(ISERROR(B2*10000/F43),0,ROUND(B2*10000/F43,0))</f>
        <v>21270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f ca="1">C6+C10+C12</f>
        <v>12214</v>
      </c>
      <c r="D5" s="2455" t="s">
        <v>2458</v>
      </c>
      <c r="E5" s="2449"/>
      <c r="F5" s="2450"/>
      <c r="G5" s="1573"/>
      <c r="H5" s="778">
        <v>1</v>
      </c>
      <c r="I5" s="779" t="s">
        <v>2455</v>
      </c>
      <c r="J5" s="55">
        <f ca="1">J6+J10+J12</f>
        <v>0</v>
      </c>
      <c r="K5" s="2455" t="s">
        <v>2458</v>
      </c>
      <c r="L5" s="2449"/>
      <c r="M5" s="2450"/>
    </row>
    <row r="6" spans="1:33" ht="18" customHeight="1">
      <c r="A6" s="1810" t="s">
        <v>1824</v>
      </c>
      <c r="B6" s="3643" t="s">
        <v>2460</v>
      </c>
      <c r="C6" s="780">
        <f ca="1">ROUND(F6*F8*F7*(1-F9)/10000,0)</f>
        <v>12199</v>
      </c>
      <c r="D6" s="2456" t="s">
        <v>2459</v>
      </c>
      <c r="E6" s="781" t="s">
        <v>637</v>
      </c>
      <c r="F6" s="782">
        <f ca="1">INDIRECT("'数据-取费表'!u"&amp;$G$1)</f>
        <v>3.93</v>
      </c>
      <c r="G6" s="1573"/>
      <c r="H6" s="2463" t="s">
        <v>1824</v>
      </c>
      <c r="I6" s="3643" t="s">
        <v>2460</v>
      </c>
      <c r="J6" s="780">
        <f ca="1">ROUND(M6*M8*M7*(1-M9)/10000,0)</f>
        <v>0</v>
      </c>
      <c r="K6" s="338" t="s">
        <v>636</v>
      </c>
      <c r="L6" s="781" t="s">
        <v>637</v>
      </c>
      <c r="M6" s="782">
        <f ca="1">INDIRECT("'数据-取费表'!z"&amp;$G$1)</f>
        <v>0</v>
      </c>
    </row>
    <row r="7" spans="1:33" ht="18" customHeight="1">
      <c r="A7" s="2459"/>
      <c r="B7" s="3644"/>
      <c r="C7" s="785"/>
      <c r="D7" s="786"/>
      <c r="E7" s="781" t="s">
        <v>638</v>
      </c>
      <c r="F7" s="782">
        <f ca="1">IF(INDIRECT("'数据-取费表'!ah"&amp;$G$1)="",INDIRECT("'数据-取费表'!k"&amp;$G$1),INDIRECT("'数据-取费表'!ah"&amp;$G$1))</f>
        <v>100049.19</v>
      </c>
      <c r="G7" s="1573"/>
      <c r="H7" s="2448"/>
      <c r="I7" s="3644"/>
      <c r="J7" s="785"/>
      <c r="K7" s="786"/>
      <c r="L7" s="781" t="s">
        <v>638</v>
      </c>
      <c r="M7" s="782">
        <f ca="1">F7</f>
        <v>100049.19</v>
      </c>
    </row>
    <row r="8" spans="1:33" ht="18" customHeight="1">
      <c r="A8" s="2452"/>
      <c r="B8" s="3645"/>
      <c r="C8" s="785"/>
      <c r="D8" s="786"/>
      <c r="E8" s="781" t="s">
        <v>639</v>
      </c>
      <c r="F8" s="782">
        <f ca="1">INDIRECT("'数据-取费表'!ai"&amp;$G$1)</f>
        <v>365</v>
      </c>
      <c r="G8" s="1573"/>
      <c r="H8" s="2448"/>
      <c r="I8" s="3645"/>
      <c r="J8" s="785"/>
      <c r="K8" s="786"/>
      <c r="L8" s="781" t="s">
        <v>639</v>
      </c>
      <c r="M8" s="782">
        <f ca="1">INDIRECT("'数据-取费表'!ai"&amp;$G$1)</f>
        <v>365</v>
      </c>
    </row>
    <row r="9" spans="1:33" ht="18" customHeight="1">
      <c r="A9" s="783"/>
      <c r="B9" s="3646"/>
      <c r="C9" s="785"/>
      <c r="D9" s="786"/>
      <c r="E9" s="781" t="s">
        <v>640</v>
      </c>
      <c r="F9" s="791">
        <f ca="1">INDIRECT("'数据-取费表'!w"&amp;$G$1)</f>
        <v>0.15</v>
      </c>
      <c r="G9" s="1573"/>
      <c r="H9" s="2464"/>
      <c r="I9" s="3645"/>
      <c r="J9" s="785"/>
      <c r="K9" s="786"/>
      <c r="L9" s="792" t="s">
        <v>640</v>
      </c>
      <c r="M9" s="793">
        <f ca="1">INDIRECT("'数据-取费表'!ab"&amp;$G$1)</f>
        <v>0</v>
      </c>
    </row>
    <row r="10" spans="1:33" ht="18" customHeight="1">
      <c r="A10" s="1810" t="s">
        <v>1825</v>
      </c>
      <c r="B10" s="2453" t="s">
        <v>2456</v>
      </c>
      <c r="C10" s="796">
        <f ca="1">ROUND(IF(F10="押一",C6/12*F11,IF(F10="押二",C6/12*2*F11,IF(F10="押三",C6/12*3*F11,C11*F11))),0)</f>
        <v>15</v>
      </c>
      <c r="D10" s="2460" t="s">
        <v>2966</v>
      </c>
      <c r="E10" s="2457" t="s">
        <v>2461</v>
      </c>
      <c r="F10" s="2580"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f ca="1">ROUND(C29*F13,0)</f>
        <v>90095</v>
      </c>
      <c r="D13" s="1814" t="s">
        <v>2295</v>
      </c>
      <c r="E13" s="1814" t="s">
        <v>643</v>
      </c>
      <c r="F13" s="2495">
        <f ca="1">INDIRECT("'数据-取费表'!y"&amp;$G$1)</f>
        <v>1</v>
      </c>
      <c r="G13" s="1573"/>
      <c r="H13" s="1809">
        <v>2</v>
      </c>
      <c r="I13" s="1807" t="s">
        <v>644</v>
      </c>
      <c r="J13" s="1799">
        <f ca="1">ROUND(J14*J15,0)</f>
        <v>0</v>
      </c>
      <c r="K13" s="1801" t="s">
        <v>642</v>
      </c>
      <c r="L13" s="2511"/>
      <c r="M13" s="2512"/>
    </row>
    <row r="14" spans="1:33" ht="18" customHeight="1">
      <c r="A14" s="1628" t="s">
        <v>1831</v>
      </c>
      <c r="B14" s="781" t="s">
        <v>645</v>
      </c>
      <c r="C14" s="801">
        <f ca="1">INDIRECT("'数据-取费表'!m"&amp;$G$1)+INDIRECT("'数据-取费表'!t"&amp;$G$1)</f>
        <v>65123</v>
      </c>
      <c r="D14" s="3169" t="s">
        <v>646</v>
      </c>
      <c r="E14" s="3170"/>
      <c r="F14" s="802"/>
      <c r="G14" s="1573"/>
      <c r="H14" s="1629" t="s">
        <v>1824</v>
      </c>
      <c r="I14" s="2211" t="s">
        <v>2821</v>
      </c>
      <c r="J14" s="53">
        <f ca="1">C29</f>
        <v>90095</v>
      </c>
      <c r="K14" s="26"/>
      <c r="L14" s="798"/>
      <c r="M14" s="799"/>
    </row>
    <row r="15" spans="1:33" s="2044" customFormat="1" ht="18" customHeight="1" thickBot="1">
      <c r="A15" s="1628" t="s">
        <v>1832</v>
      </c>
      <c r="B15" s="781" t="s">
        <v>647</v>
      </c>
      <c r="C15" s="53">
        <f ca="1">ROUND(C14*F15,0)</f>
        <v>1954</v>
      </c>
      <c r="D15" s="803" t="s">
        <v>648</v>
      </c>
      <c r="E15" s="803" t="s">
        <v>649</v>
      </c>
      <c r="F15" s="804">
        <f>'数据-取费表'!B33</f>
        <v>0.03</v>
      </c>
      <c r="G15" s="1574"/>
      <c r="H15" s="2510" t="s">
        <v>1889</v>
      </c>
      <c r="I15" s="2505" t="s">
        <v>643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f ca="1">ROUND(INDIRECT("'数据-取费表'!m"&amp;$G$1)*F16,0)</f>
        <v>0</v>
      </c>
      <c r="D16" s="781" t="s">
        <v>648</v>
      </c>
      <c r="E16" s="781" t="s">
        <v>649</v>
      </c>
      <c r="F16" s="806">
        <f ca="1">IF(INDIRECT("'数据-取费表'!c"&amp;$G$1)="住宅",'数据-取费表'!B34,0)</f>
        <v>0</v>
      </c>
      <c r="G16" s="1573"/>
      <c r="H16" s="1809" t="s">
        <v>7</v>
      </c>
      <c r="I16" s="1807" t="s">
        <v>651</v>
      </c>
      <c r="J16" s="789">
        <f ca="1">ROUND(J17+J22+J23+J24,0)</f>
        <v>8475</v>
      </c>
      <c r="K16" s="1801" t="s">
        <v>652</v>
      </c>
      <c r="L16" s="3171"/>
      <c r="M16" s="2450"/>
    </row>
    <row r="17" spans="1:33" s="2044" customFormat="1" ht="18" customHeight="1">
      <c r="A17" s="1628" t="s">
        <v>1887</v>
      </c>
      <c r="B17" s="781" t="s">
        <v>653</v>
      </c>
      <c r="C17" s="53">
        <f ca="1">ROUND(F17*(F43+INDIRECT("'数据-取费表'!S"&amp;$G$1))/10000,0)</f>
        <v>3101</v>
      </c>
      <c r="D17" s="781" t="s">
        <v>654</v>
      </c>
      <c r="E17" s="781" t="s">
        <v>655</v>
      </c>
      <c r="F17" s="56">
        <f>'数据-取费表'!B35</f>
        <v>200</v>
      </c>
      <c r="G17" s="1574"/>
      <c r="H17" s="1629" t="s">
        <v>1824</v>
      </c>
      <c r="I17" s="781" t="s">
        <v>656</v>
      </c>
      <c r="J17" s="53">
        <f ca="1">ROUND(IF(项目基本情况!B11="自然人",J6*M17/(1+'数据-取费表'!C42),J18+J19+J20),0)</f>
        <v>7574</v>
      </c>
      <c r="K17" s="3169" t="s">
        <v>657</v>
      </c>
      <c r="L17" s="3168"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f ca="1">ROUND(C14*F18,0)</f>
        <v>977</v>
      </c>
      <c r="D18" s="781" t="s">
        <v>648</v>
      </c>
      <c r="E18" s="781" t="s">
        <v>649</v>
      </c>
      <c r="F18" s="806">
        <f>'数据-取费表'!B36</f>
        <v>1.4999999999999999E-2</v>
      </c>
      <c r="G18" s="1574"/>
      <c r="H18" s="1628" t="s">
        <v>1831</v>
      </c>
      <c r="I18" s="781" t="s">
        <v>660</v>
      </c>
      <c r="J18" s="53">
        <f ca="1">ROUND(J6*M18/(1+'数据-取费表'!C42),1)</f>
        <v>0</v>
      </c>
      <c r="K18" s="3168"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f ca="1">SUM(C14:C18)</f>
        <v>71155</v>
      </c>
      <c r="D19" s="258" t="s">
        <v>663</v>
      </c>
      <c r="E19" s="3173"/>
      <c r="F19" s="56"/>
      <c r="G19" s="1573"/>
      <c r="H19" s="1628" t="s">
        <v>1832</v>
      </c>
      <c r="I19" s="781" t="s">
        <v>664</v>
      </c>
      <c r="J19" s="53">
        <f ca="1">IF(K19="按租金收入计税",ROUND(J6*M19/(1+'数据-取费表'!C42),1),ROUND(C29*F33*0.7,1))</f>
        <v>7568</v>
      </c>
      <c r="K19" s="808" t="s">
        <v>665</v>
      </c>
      <c r="L19" s="781" t="s">
        <v>649</v>
      </c>
      <c r="M19" s="806">
        <f>IF(K19="按租金收入计税",'数据-取费表'!B51,'数据-取费表'!B50)</f>
        <v>1.2E-2</v>
      </c>
    </row>
    <row r="20" spans="1:33" s="2044" customFormat="1" ht="18" customHeight="1">
      <c r="A20" s="1629" t="s">
        <v>1889</v>
      </c>
      <c r="B20" s="781" t="s">
        <v>666</v>
      </c>
      <c r="C20" s="53">
        <f ca="1">ROUND(C19*F20,0)</f>
        <v>1067</v>
      </c>
      <c r="D20" s="809" t="s">
        <v>667</v>
      </c>
      <c r="E20" s="781" t="s">
        <v>649</v>
      </c>
      <c r="F20" s="806">
        <f>'数据-取费表'!B37</f>
        <v>1.4999999999999999E-2</v>
      </c>
      <c r="G20" s="1574"/>
      <c r="H20" s="1631" t="s">
        <v>1833</v>
      </c>
      <c r="I20" s="338" t="s">
        <v>668</v>
      </c>
      <c r="J20" s="54">
        <f ca="1">ROUND(M20*M21/10000,0)</f>
        <v>6</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f ca="1">INDIRECT("'数据-取费表'!r"&amp;$G$1)</f>
        <v>40278.800000000003</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173"/>
      <c r="F22" s="56"/>
      <c r="G22" s="1573"/>
      <c r="H22" s="1629" t="s">
        <v>1889</v>
      </c>
      <c r="I22" s="781" t="s">
        <v>676</v>
      </c>
      <c r="J22" s="53">
        <f ca="1">ROUND(J14*M22,0)</f>
        <v>901</v>
      </c>
      <c r="K22" s="3168" t="s">
        <v>677</v>
      </c>
      <c r="L22" s="781" t="s">
        <v>649</v>
      </c>
      <c r="M22" s="814">
        <f ca="1">INDIRECT("'数据-取费表'!Ak"&amp;$G$1)</f>
        <v>0.01</v>
      </c>
    </row>
    <row r="23" spans="1:33" s="2044" customFormat="1" ht="18" customHeight="1">
      <c r="A23" s="1628" t="s">
        <v>1831</v>
      </c>
      <c r="B23" s="781" t="s">
        <v>2435</v>
      </c>
      <c r="C23" s="53">
        <f ca="1">ROUND(IF('数据-取费表'!B22&lt;=1,(C19+C20)*F24*F23/2,(C19+C20)*(POWER((1+F24),F23/2)-1)),0)</f>
        <v>3431</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f ca="1">ROUND(J13*M23,0)</f>
        <v>0</v>
      </c>
      <c r="K23" s="3168" t="s">
        <v>680</v>
      </c>
      <c r="L23" s="781" t="s">
        <v>649</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f ca="1">ROUND(J5*M24,0)</f>
        <v>0</v>
      </c>
      <c r="K24" s="2504" t="s">
        <v>683</v>
      </c>
      <c r="L24" s="2505" t="s">
        <v>649</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173"/>
      <c r="F25" s="56"/>
      <c r="G25" s="1573"/>
      <c r="H25" s="1809" t="s">
        <v>1776</v>
      </c>
      <c r="I25" s="2956" t="s">
        <v>2818</v>
      </c>
      <c r="J25" s="789">
        <f ca="1">J5-J16</f>
        <v>-8475</v>
      </c>
      <c r="K25" s="2507" t="s">
        <v>700</v>
      </c>
      <c r="L25" s="2508"/>
      <c r="M25" s="2509"/>
    </row>
    <row r="26" spans="1:33" ht="18" customHeight="1">
      <c r="A26" s="1628" t="s">
        <v>1831</v>
      </c>
      <c r="B26" s="781" t="s">
        <v>2436</v>
      </c>
      <c r="C26" s="53">
        <f ca="1">ROUND((C19+C20)*F26,0)</f>
        <v>8667</v>
      </c>
      <c r="D26" s="809" t="s">
        <v>701</v>
      </c>
      <c r="E26" s="792" t="s">
        <v>702</v>
      </c>
      <c r="F26" s="791">
        <f ca="1">INDIRECT("'数据-取费表'!q"&amp;$G$1)</f>
        <v>0.12</v>
      </c>
      <c r="G26" s="1573"/>
      <c r="H26" s="2461" t="s">
        <v>1780</v>
      </c>
      <c r="I26" s="2212" t="s">
        <v>2823</v>
      </c>
      <c r="J26" s="780">
        <f ca="1">IF(J5&lt;&gt;0,ROUND(J25*(1-((1+M28)/(1+M26))^M27)/(M26-M28),0),0)</f>
        <v>0</v>
      </c>
      <c r="K26" s="811" t="s">
        <v>704</v>
      </c>
      <c r="L26" s="781" t="s">
        <v>2417</v>
      </c>
      <c r="M26" s="791">
        <f ca="1">INDIRECT("'数据-取费表'!I"&amp;$G$1)</f>
        <v>5.5E-2</v>
      </c>
    </row>
    <row r="27" spans="1:33" ht="18" customHeight="1">
      <c r="A27" s="1628" t="s">
        <v>1832</v>
      </c>
      <c r="B27" s="781" t="s">
        <v>686</v>
      </c>
      <c r="C27" s="53">
        <f ca="1">ROUND(F21*F26,4)</f>
        <v>1.1999999999999999E-3</v>
      </c>
      <c r="D27" s="809" t="s">
        <v>706</v>
      </c>
      <c r="E27" s="803"/>
      <c r="F27" s="804"/>
      <c r="G27" s="1573"/>
      <c r="H27" s="2462"/>
      <c r="I27" s="784"/>
      <c r="J27" s="785"/>
      <c r="K27" s="818" t="s">
        <v>707</v>
      </c>
      <c r="L27" s="781" t="s">
        <v>708</v>
      </c>
      <c r="M27" s="819">
        <f ca="1">INDIRECT("'数据-取费表'!ag"&amp;$G$1)</f>
        <v>0</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f ca="1">ROUND((C19+C20+C23+C26)/(1-F21-C24-C27-C28),0)</f>
        <v>90095</v>
      </c>
      <c r="D29" s="2504"/>
      <c r="E29" s="2505"/>
      <c r="F29" s="2506"/>
      <c r="G29" s="1574"/>
      <c r="H29" s="820" t="s">
        <v>1787</v>
      </c>
      <c r="I29" s="821" t="s">
        <v>1788</v>
      </c>
      <c r="J29" s="822">
        <f ca="1">ROUND(J26/(1+F40)^F41,0)</f>
        <v>0</v>
      </c>
      <c r="K29" s="823" t="s">
        <v>688</v>
      </c>
      <c r="L29" s="824"/>
      <c r="M29" s="825">
        <f ca="1">INDIRECT("'数据-取费表'!k"&amp;$G$1)</f>
        <v>100049.19</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f ca="1">ROUND(C31+C36+C37+C38,0)</f>
        <v>3197</v>
      </c>
      <c r="D30" s="1801" t="s">
        <v>652</v>
      </c>
      <c r="E30" s="3171"/>
      <c r="F30" s="2450"/>
      <c r="G30" s="2042"/>
      <c r="H30" s="2045"/>
      <c r="I30" s="2046"/>
      <c r="J30" s="2047"/>
      <c r="K30" s="2048"/>
      <c r="L30" s="2049"/>
      <c r="M30" s="2050"/>
    </row>
    <row r="31" spans="1:33" ht="18" customHeight="1">
      <c r="A31" s="1629" t="s">
        <v>1824</v>
      </c>
      <c r="B31" s="781" t="s">
        <v>656</v>
      </c>
      <c r="C31" s="53">
        <f ca="1">ROUND(IF(项目基本情况!B11="自然人",C6*F31/(1+'数据-取费表'!C42),C32+C33+C34),1)</f>
        <v>2039.2</v>
      </c>
      <c r="D31" s="3169" t="s">
        <v>657</v>
      </c>
      <c r="E31" s="3168"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f ca="1">ROUND(C6*F32/(1+'数据-取费表'!C42),1)</f>
        <v>639</v>
      </c>
      <c r="D32" s="3168"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f ca="1">IF(D33="按租金收入计税",ROUND(C6*F33/(1+'数据-取费表'!C42),1),IF(D33="按房产原值计税",ROUND(C29*F33*0.7,1),INDIRECT("'数据-取费表'!Aj"&amp;$G$1)))</f>
        <v>1394.2</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f ca="1">ROUND(F34*F35/10000,1)</f>
        <v>6</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f ca="1">INDIRECT("'数据-取费表'!r"&amp;$G$1)</f>
        <v>40278.800000000003</v>
      </c>
      <c r="G35" s="2042"/>
      <c r="H35" s="2045"/>
      <c r="I35" s="834" t="s">
        <v>1814</v>
      </c>
      <c r="J35" s="835">
        <f ca="1">ROUND(C13*J36,0)</f>
        <v>7208</v>
      </c>
      <c r="K35" s="2058"/>
      <c r="L35" s="2057"/>
      <c r="M35" s="2057"/>
    </row>
    <row r="36" spans="1:18" ht="18" customHeight="1">
      <c r="A36" s="1629" t="s">
        <v>1889</v>
      </c>
      <c r="B36" s="781" t="s">
        <v>676</v>
      </c>
      <c r="C36" s="53">
        <f ca="1">ROUND(C29*F36,1)</f>
        <v>901</v>
      </c>
      <c r="D36" s="3168" t="s">
        <v>691</v>
      </c>
      <c r="E36" s="781" t="s">
        <v>649</v>
      </c>
      <c r="F36" s="814">
        <f ca="1">INDIRECT("'数据-取费表'!Ak"&amp;$G$1)</f>
        <v>0.01</v>
      </c>
      <c r="G36" s="2042"/>
      <c r="H36" s="2057"/>
      <c r="I36" s="836" t="s">
        <v>1815</v>
      </c>
      <c r="J36" s="837">
        <f ca="1">INDIRECT("'数据-取费表'!j"&amp;$G$1)</f>
        <v>0.08</v>
      </c>
      <c r="K36" s="2062"/>
      <c r="L36" s="2057"/>
      <c r="M36" s="2057"/>
    </row>
    <row r="37" spans="1:18" ht="18" customHeight="1">
      <c r="A37" s="1629" t="s">
        <v>1890</v>
      </c>
      <c r="B37" s="781" t="s">
        <v>679</v>
      </c>
      <c r="C37" s="53">
        <f ca="1">ROUND(C13*F37,1)</f>
        <v>135.1</v>
      </c>
      <c r="D37" s="3168" t="s">
        <v>680</v>
      </c>
      <c r="E37" s="781" t="s">
        <v>649</v>
      </c>
      <c r="F37" s="815">
        <f ca="1">INDIRECT("'数据-取费表'!Al"&amp;$G$1)</f>
        <v>1.5E-3</v>
      </c>
      <c r="G37" s="2042"/>
      <c r="H37" s="2057"/>
      <c r="I37" s="838" t="s">
        <v>1816</v>
      </c>
      <c r="J37" s="839"/>
      <c r="K37" s="2062"/>
      <c r="L37" s="2057"/>
      <c r="M37" s="2057"/>
    </row>
    <row r="38" spans="1:18" ht="18" customHeight="1" thickBot="1">
      <c r="A38" s="2510" t="s">
        <v>1891</v>
      </c>
      <c r="B38" s="2505" t="s">
        <v>666</v>
      </c>
      <c r="C38" s="2503">
        <f ca="1">ROUND(C5*F38,1)</f>
        <v>122.1</v>
      </c>
      <c r="D38" s="2504" t="s">
        <v>683</v>
      </c>
      <c r="E38" s="2505" t="s">
        <v>649</v>
      </c>
      <c r="F38" s="2501">
        <f ca="1">INDIRECT("'数据-取费表'!Am"&amp;$G$1)</f>
        <v>0.01</v>
      </c>
      <c r="G38" s="2042"/>
      <c r="H38" s="2057"/>
      <c r="I38" s="840" t="s">
        <v>1817</v>
      </c>
      <c r="J38" s="841"/>
      <c r="K38" s="2063"/>
      <c r="L38" s="2057"/>
      <c r="M38" s="2057"/>
    </row>
    <row r="39" spans="1:18" ht="24.6" customHeight="1" thickTop="1">
      <c r="A39" s="1809" t="s">
        <v>1776</v>
      </c>
      <c r="B39" s="2956" t="s">
        <v>2818</v>
      </c>
      <c r="C39" s="789">
        <f ca="1">C5-C30</f>
        <v>9017</v>
      </c>
      <c r="D39" s="2507" t="s">
        <v>700</v>
      </c>
      <c r="E39" s="2508"/>
      <c r="F39" s="2509"/>
      <c r="G39" s="2042"/>
      <c r="H39" s="2057"/>
      <c r="I39" s="834" t="s">
        <v>1818</v>
      </c>
      <c r="J39" s="842">
        <f ca="1">ROUND(J35/C39,3)</f>
        <v>0.79900000000000004</v>
      </c>
      <c r="K39" s="2063"/>
      <c r="L39" s="2057"/>
      <c r="M39" s="2057"/>
    </row>
    <row r="40" spans="1:18" ht="18" customHeight="1">
      <c r="A40" s="778" t="s">
        <v>1780</v>
      </c>
      <c r="B40" s="2212" t="s">
        <v>2299</v>
      </c>
      <c r="C40" s="780">
        <f ca="1">ROUND(C39*(1-((1+F42)/(1+F40))^F41)/(F40-F42),0)</f>
        <v>212809</v>
      </c>
      <c r="D40" s="811" t="s">
        <v>704</v>
      </c>
      <c r="E40" s="781" t="s">
        <v>2417</v>
      </c>
      <c r="F40" s="791">
        <f ca="1">INDIRECT("'数据-取费表'!I"&amp;$G$1)</f>
        <v>5.5E-2</v>
      </c>
      <c r="G40" s="2042"/>
      <c r="H40" s="2042"/>
      <c r="I40" s="834" t="s">
        <v>1819</v>
      </c>
      <c r="J40" s="842">
        <f ca="1">1-J39</f>
        <v>0.20099999999999996</v>
      </c>
      <c r="K40" s="2063"/>
      <c r="L40" s="2042"/>
      <c r="M40" s="2042"/>
    </row>
    <row r="41" spans="1:18" ht="18" customHeight="1">
      <c r="A41" s="783"/>
      <c r="B41" s="784"/>
      <c r="C41" s="785"/>
      <c r="D41" s="818" t="s">
        <v>1808</v>
      </c>
      <c r="E41" s="781" t="s">
        <v>708</v>
      </c>
      <c r="F41" s="819">
        <f ca="1">IF(INDIRECT("'数据-取费表'!af"&amp;$G$1)=0,INDIRECT("'数据-取费表'!ae"&amp;$G$1),INDIRECT("'数据-取费表'!af"&amp;$G$1))</f>
        <v>37.18</v>
      </c>
      <c r="G41" s="2042"/>
      <c r="H41" s="1968"/>
      <c r="I41" s="840" t="s">
        <v>1820</v>
      </c>
      <c r="J41" s="843"/>
      <c r="K41" s="2062"/>
      <c r="L41" s="1968"/>
      <c r="M41" s="1968"/>
    </row>
    <row r="42" spans="1:18" ht="18" customHeight="1">
      <c r="A42" s="787"/>
      <c r="B42" s="788"/>
      <c r="C42" s="789"/>
      <c r="D42" s="813"/>
      <c r="E42" s="781" t="s">
        <v>710</v>
      </c>
      <c r="F42" s="791">
        <f ca="1">INDIRECT("'数据-取费表'!v"&amp;$G$1)</f>
        <v>0.03</v>
      </c>
      <c r="G42" s="2042"/>
      <c r="H42" s="1968"/>
      <c r="I42" s="844" t="s">
        <v>1821</v>
      </c>
      <c r="J42" s="842">
        <f ca="1">ROUND(C13/C40,3)</f>
        <v>0.42299999999999999</v>
      </c>
      <c r="K42" s="2062"/>
      <c r="L42" s="1968"/>
      <c r="M42" s="1968"/>
    </row>
    <row r="43" spans="1:18" ht="18" customHeight="1" thickBot="1">
      <c r="A43" s="820" t="s">
        <v>1787</v>
      </c>
      <c r="B43" s="821" t="s">
        <v>1810</v>
      </c>
      <c r="C43" s="822">
        <f ca="1">ROUND(C40*10000/F43,0)</f>
        <v>21270</v>
      </c>
      <c r="D43" s="823" t="s">
        <v>1811</v>
      </c>
      <c r="E43" s="824" t="s">
        <v>1812</v>
      </c>
      <c r="F43" s="825">
        <f ca="1">INDIRECT("'数据-取费表'!k"&amp;$G$1)</f>
        <v>100049.19</v>
      </c>
      <c r="G43" s="2042"/>
      <c r="H43" s="1968"/>
      <c r="I43" s="844" t="s">
        <v>1822</v>
      </c>
      <c r="J43" s="845">
        <f ca="1">1-J42</f>
        <v>0.57699999999999996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f ca="1">C67-C40</f>
        <v>-229166</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f ca="1">C48+C52+C54</f>
        <v>0</v>
      </c>
      <c r="D47" s="2065"/>
      <c r="E47" s="2065"/>
      <c r="F47" s="2065"/>
      <c r="I47" s="3085" t="s">
        <v>2342</v>
      </c>
      <c r="J47" s="2340" t="s">
        <v>3051</v>
      </c>
      <c r="K47" s="3091" t="s">
        <v>2347</v>
      </c>
      <c r="L47" s="3095">
        <f ca="1">INDIRECT("'数据-取费表'!d"&amp;$G$1)</f>
        <v>40</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f ca="1">ROUND(F48*F50*F49*(1-F51)/10000,0)</f>
        <v>0</v>
      </c>
      <c r="D48" s="2334" t="s">
        <v>636</v>
      </c>
      <c r="E48" s="2335" t="s">
        <v>2294</v>
      </c>
      <c r="F48" s="2336"/>
      <c r="G48" s="2070"/>
      <c r="I48" s="3064" t="s">
        <v>2343</v>
      </c>
      <c r="J48" s="2341" t="s">
        <v>2348</v>
      </c>
      <c r="K48" s="3092" t="s">
        <v>2349</v>
      </c>
      <c r="L48" s="1888">
        <f ca="1">INDIRECT("'数据-取费表'!f"&amp;$G$1)</f>
        <v>39.18</v>
      </c>
      <c r="O48" s="2357" t="s">
        <v>2377</v>
      </c>
      <c r="P48" s="2358" t="s">
        <v>2403</v>
      </c>
      <c r="Q48" s="2359">
        <f ca="1">C40+J29</f>
        <v>212809</v>
      </c>
      <c r="R48" s="2358" t="s">
        <v>2378</v>
      </c>
    </row>
    <row r="49" spans="1:18" s="2039" customFormat="1" ht="18" customHeight="1" thickBot="1">
      <c r="A49" s="783"/>
      <c r="B49" s="784"/>
      <c r="C49" s="785"/>
      <c r="D49" s="786"/>
      <c r="E49" s="781" t="s">
        <v>638</v>
      </c>
      <c r="F49" s="782">
        <f ca="1">F7</f>
        <v>100049.19</v>
      </c>
      <c r="G49" s="2070"/>
      <c r="H49" s="2073"/>
      <c r="I49" s="3064" t="s">
        <v>2344</v>
      </c>
      <c r="J49" s="2342">
        <v>2021</v>
      </c>
      <c r="K49" s="3093" t="s">
        <v>2350</v>
      </c>
      <c r="L49" s="2343"/>
      <c r="O49" s="2357" t="s">
        <v>2379</v>
      </c>
      <c r="P49" s="2358" t="s">
        <v>2404</v>
      </c>
      <c r="Q49" s="2359" t="str">
        <f ca="1">J60</f>
        <v>0</v>
      </c>
      <c r="R49" s="2358" t="s">
        <v>2380</v>
      </c>
    </row>
    <row r="50" spans="1:18" s="2039" customFormat="1" ht="18" customHeight="1" thickBot="1">
      <c r="A50" s="783"/>
      <c r="B50" s="784"/>
      <c r="C50" s="785"/>
      <c r="D50" s="786"/>
      <c r="E50" s="781" t="s">
        <v>639</v>
      </c>
      <c r="F50" s="782">
        <f ca="1">F8</f>
        <v>365</v>
      </c>
      <c r="G50" s="2075"/>
      <c r="H50" s="2073"/>
      <c r="I50" s="3064" t="s">
        <v>2345</v>
      </c>
      <c r="J50" s="3089">
        <f>SUMPRODUCT((I63:I65=J47)*(J62:L62=J48)*(J63:L65))</f>
        <v>60</v>
      </c>
      <c r="K50" s="3093" t="s">
        <v>2351</v>
      </c>
      <c r="L50" s="2343"/>
      <c r="O50" s="2360" t="s">
        <v>2381</v>
      </c>
      <c r="P50" s="2358" t="s">
        <v>2405</v>
      </c>
      <c r="Q50" s="2359">
        <f ca="1">C29</f>
        <v>90095</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f ca="1">ROUND(-PV(INDIRECT("'数据-取费表'!h"&amp;$G$1),L48,(C39-C13*J36),0),0)</f>
        <v>30838</v>
      </c>
      <c r="O51" s="2360" t="s">
        <v>2382</v>
      </c>
      <c r="P51" s="2358" t="s">
        <v>2383</v>
      </c>
      <c r="Q51" s="2361" t="e">
        <f ca="1">J58</f>
        <v>#VALUE!</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f ca="1">IF(M47="住宅",IF(D1="——",MAX(J51,L48),MAX(J51,L48-'数据-取费表'!B20)),IF(D1="——",MIN(J51,L48),MIN(J51,L48-'数据-取费表'!B20)))</f>
        <v>37.18</v>
      </c>
      <c r="K53" s="3647" t="s">
        <v>2958</v>
      </c>
      <c r="L53" s="3648"/>
      <c r="O53" s="2360" t="s">
        <v>2386</v>
      </c>
      <c r="P53" s="2358" t="s">
        <v>2387</v>
      </c>
      <c r="Q53" s="2359">
        <f ca="1">J53</f>
        <v>37.18</v>
      </c>
      <c r="R53" s="2358" t="s">
        <v>2388</v>
      </c>
    </row>
    <row r="54" spans="1:18" s="2039" customFormat="1" ht="18" customHeight="1" thickBot="1">
      <c r="A54" s="2496" t="s">
        <v>2464</v>
      </c>
      <c r="B54" s="2497" t="s">
        <v>2457</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2389</v>
      </c>
      <c r="P54" s="2358" t="s">
        <v>2406</v>
      </c>
      <c r="Q54" s="2359">
        <f ca="1">Q48+Q49</f>
        <v>212809</v>
      </c>
      <c r="R54" s="2362" t="s">
        <v>2390</v>
      </c>
    </row>
    <row r="55" spans="1:18" s="2039" customFormat="1" ht="18" customHeight="1" thickTop="1" thickBot="1">
      <c r="A55" s="794">
        <v>2</v>
      </c>
      <c r="B55" s="795" t="s">
        <v>644</v>
      </c>
      <c r="C55" s="796">
        <f ca="1">C13</f>
        <v>90095</v>
      </c>
      <c r="D55" s="792"/>
      <c r="E55" s="792"/>
      <c r="F55" s="797"/>
      <c r="I55" s="3099" t="s">
        <v>2353</v>
      </c>
      <c r="J55" s="3039" t="e">
        <f ca="1">ROUND(IF(J47="钢混",J57/J50,1-(1-2%)*(J50-J57)/J50),3)</f>
        <v>#VALUE!</v>
      </c>
      <c r="K55" s="3100" t="s">
        <v>2354</v>
      </c>
      <c r="L55" s="2345"/>
      <c r="O55" s="2363" t="s">
        <v>2409</v>
      </c>
      <c r="P55" s="1573"/>
      <c r="Q55" s="1584"/>
      <c r="R55" s="1573"/>
    </row>
    <row r="56" spans="1:18" s="2039" customFormat="1" ht="42.75" customHeight="1" thickBot="1">
      <c r="A56" s="1630"/>
      <c r="B56" s="2211" t="s">
        <v>2298</v>
      </c>
      <c r="C56" s="53">
        <f ca="1">C29</f>
        <v>90095</v>
      </c>
      <c r="D56" s="3168"/>
      <c r="E56" s="781"/>
      <c r="F56" s="806"/>
      <c r="I56" s="3101" t="s">
        <v>2355</v>
      </c>
      <c r="J56" s="3111" t="s">
        <v>1678</v>
      </c>
      <c r="K56" s="3064" t="s">
        <v>2360</v>
      </c>
      <c r="L56" s="1888" t="str">
        <f ca="1">IF(L48&lt;J51,"——",L48-J51)</f>
        <v>——</v>
      </c>
      <c r="O56" s="2354" t="s">
        <v>2373</v>
      </c>
      <c r="P56" s="2355" t="s">
        <v>2374</v>
      </c>
      <c r="Q56" s="2356" t="s">
        <v>2375</v>
      </c>
      <c r="R56" s="2355" t="s">
        <v>2376</v>
      </c>
    </row>
    <row r="57" spans="1:18" s="2039" customFormat="1" ht="28.5" customHeight="1" thickBot="1">
      <c r="A57" s="794" t="s">
        <v>7</v>
      </c>
      <c r="B57" s="795" t="s">
        <v>651</v>
      </c>
      <c r="C57" s="796">
        <f ca="1">ROUND(C58+C63+C64+C65,0)</f>
        <v>1042</v>
      </c>
      <c r="D57" s="26" t="s">
        <v>652</v>
      </c>
      <c r="E57" s="3173"/>
      <c r="F57" s="56"/>
      <c r="I57" s="3102" t="s">
        <v>2356</v>
      </c>
      <c r="J57" s="3103" t="str">
        <f ca="1">IF(OR(M47="住宅",J51&lt;L48,J56="是"),"——",J51-L48)</f>
        <v>——</v>
      </c>
      <c r="K57" s="3064" t="s">
        <v>2361</v>
      </c>
      <c r="L57" s="1888" t="str">
        <f ca="1">IF(L48&lt;J51,"——",IF(L55="比较法",L49,IF(L55="基准地价",L50,L51)))</f>
        <v>——</v>
      </c>
      <c r="O57" s="2357" t="s">
        <v>2377</v>
      </c>
      <c r="P57" s="2358" t="s">
        <v>2403</v>
      </c>
      <c r="Q57" s="2359">
        <f ca="1">C40+J29</f>
        <v>212809</v>
      </c>
      <c r="R57" s="2358" t="s">
        <v>2378</v>
      </c>
    </row>
    <row r="58" spans="1:18" s="2039" customFormat="1" ht="28.5" customHeight="1" thickBot="1">
      <c r="A58" s="1629" t="s">
        <v>1824</v>
      </c>
      <c r="B58" s="781" t="s">
        <v>656</v>
      </c>
      <c r="C58" s="53">
        <f ca="1">ROUND(IF(项目基本情况!B11="自然人",C47*F58,C59+C60+C61),1)</f>
        <v>6</v>
      </c>
      <c r="D58" s="3169" t="s">
        <v>657</v>
      </c>
      <c r="E58" s="3168" t="s">
        <v>690</v>
      </c>
      <c r="F58" s="807" t="str">
        <f ca="1">IF(项目基本情况!B11="企业","",IF(INDIRECT("'数据-取费表'!c"&amp;$G$1)="住宅",5%,IF(F48*F49*F50/12/(1+'数据-取费表'!C42)&gt;20000,12%,7%)))</f>
        <v/>
      </c>
      <c r="I58" s="3102" t="s">
        <v>2357</v>
      </c>
      <c r="J58" s="3040" t="e">
        <f ca="1">IF(J55&lt;0.4,0.4,J55)</f>
        <v>#VALUE!</v>
      </c>
      <c r="K58" s="3064" t="s">
        <v>2362</v>
      </c>
      <c r="L58" s="1888" t="e">
        <f ca="1">ROUND(POWER(1+L52,L47-L48)*(POWER(1+L52,L48)-1)/(POWER(1+L52,L47)-1),4)</f>
        <v>#DIV/0!</v>
      </c>
      <c r="O58" s="2357" t="s">
        <v>2379</v>
      </c>
      <c r="P58" s="2358" t="s">
        <v>2410</v>
      </c>
      <c r="Q58" s="2359">
        <f ca="1">L60</f>
        <v>0</v>
      </c>
      <c r="R58" s="2362" t="s">
        <v>2412</v>
      </c>
    </row>
    <row r="59" spans="1:18" s="2039" customFormat="1" ht="28.5" customHeight="1" thickBot="1">
      <c r="A59" s="1628" t="s">
        <v>1831</v>
      </c>
      <c r="B59" s="781" t="s">
        <v>660</v>
      </c>
      <c r="C59" s="53">
        <f ca="1">ROUND(C47*F59/1.05,1)</f>
        <v>0</v>
      </c>
      <c r="D59" s="3168" t="s">
        <v>661</v>
      </c>
      <c r="E59" s="781" t="s">
        <v>649</v>
      </c>
      <c r="F59" s="806">
        <f t="shared" ref="F59:F65" si="0">F32</f>
        <v>5.5000000000000007E-2</v>
      </c>
      <c r="I59" s="3102" t="s">
        <v>2358</v>
      </c>
      <c r="J59" s="3103" t="str">
        <f ca="1">IF(OR(M47="住宅",J51&lt;L48,J56="是"),"——",ROUND(C29*J58,0))</f>
        <v>——</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2381</v>
      </c>
      <c r="P59" s="2358" t="s">
        <v>2411</v>
      </c>
      <c r="Q59" s="2359">
        <f>IF(L55="比较法",L49,IF(L55="基准地价",L50,0))</f>
        <v>0</v>
      </c>
      <c r="R59" s="2358" t="s">
        <v>2378</v>
      </c>
    </row>
    <row r="60" spans="1:18" s="2039" customFormat="1" ht="18" customHeight="1" thickBot="1">
      <c r="A60" s="1628" t="s">
        <v>1832</v>
      </c>
      <c r="B60" s="781" t="s">
        <v>664</v>
      </c>
      <c r="C60" s="53">
        <f ca="1">IF(D60="按租金收入计税",ROUND(C47*F60,1),IF(D60="按房产原值计税",ROUND(C56*F60*0.7,1),INDIRECT("'数据-取费表'!Aj"&amp;$G$1)))</f>
        <v>0</v>
      </c>
      <c r="D60" s="3168" t="str">
        <f>D33</f>
        <v>按租金收入计税</v>
      </c>
      <c r="E60" s="781" t="s">
        <v>649</v>
      </c>
      <c r="F60" s="806">
        <f t="shared" si="0"/>
        <v>0.12</v>
      </c>
      <c r="I60" s="3104" t="s">
        <v>2359</v>
      </c>
      <c r="J60" s="3105" t="str">
        <f ca="1">IF(OR(M47="住宅",J51&lt;L48,J56="是"),"0",ROUND(J59/(1+J52)^J53,0))</f>
        <v>0</v>
      </c>
      <c r="K60" s="3106" t="s">
        <v>2364</v>
      </c>
      <c r="L60" s="3105">
        <f ca="1">IF(OR(M47="住宅",L48&lt;J51),0,ROUND(L57*(L58/L59-1),0))</f>
        <v>0</v>
      </c>
      <c r="O60" s="2360" t="s">
        <v>2382</v>
      </c>
      <c r="P60" s="2358" t="s">
        <v>2391</v>
      </c>
      <c r="Q60" s="2361">
        <f>L52</f>
        <v>0</v>
      </c>
      <c r="R60" s="2362"/>
    </row>
    <row r="61" spans="1:18" s="2039" customFormat="1" ht="18" customHeight="1" thickBot="1">
      <c r="A61" s="1631" t="s">
        <v>1833</v>
      </c>
      <c r="B61" s="338" t="s">
        <v>668</v>
      </c>
      <c r="C61" s="54">
        <f ca="1">ROUND(F61*F62/10000,1)</f>
        <v>6</v>
      </c>
      <c r="D61" s="811" t="s">
        <v>669</v>
      </c>
      <c r="E61" s="781" t="s">
        <v>670</v>
      </c>
      <c r="F61" s="637">
        <f t="shared" si="0"/>
        <v>1.5</v>
      </c>
      <c r="K61" s="2066"/>
      <c r="O61" s="2360" t="s">
        <v>2384</v>
      </c>
      <c r="P61" s="2358" t="s">
        <v>2392</v>
      </c>
      <c r="Q61" s="2359" t="e">
        <f ca="1">L58</f>
        <v>#DIV/0!</v>
      </c>
      <c r="R61" s="2362" t="s">
        <v>2393</v>
      </c>
    </row>
    <row r="62" spans="1:18" s="2039" customFormat="1" ht="16.2" thickBot="1">
      <c r="A62" s="812"/>
      <c r="B62" s="790"/>
      <c r="C62" s="69"/>
      <c r="D62" s="813"/>
      <c r="E62" s="781" t="s">
        <v>674</v>
      </c>
      <c r="F62" s="782">
        <f t="shared" ca="1" si="0"/>
        <v>40278.800000000003</v>
      </c>
      <c r="I62" s="3107" t="s">
        <v>2365</v>
      </c>
      <c r="J62" s="3108" t="s">
        <v>2366</v>
      </c>
      <c r="K62" s="3108" t="s">
        <v>2367</v>
      </c>
      <c r="L62" s="3108" t="s">
        <v>2348</v>
      </c>
      <c r="M62" s="3109" t="s">
        <v>2935</v>
      </c>
      <c r="O62" s="2360" t="s">
        <v>2386</v>
      </c>
      <c r="P62" s="2358" t="str">
        <f>K59</f>
        <v>建设期及建筑物耐用年限下的土地年期修正系数Kn</v>
      </c>
      <c r="Q62" s="2359" t="e">
        <f ca="1">L59</f>
        <v>#DIV/0!</v>
      </c>
      <c r="R62" s="2362" t="s">
        <v>2395</v>
      </c>
    </row>
    <row r="63" spans="1:18" s="2039" customFormat="1" ht="16.2" thickBot="1">
      <c r="A63" s="1629" t="s">
        <v>1889</v>
      </c>
      <c r="B63" s="781" t="s">
        <v>676</v>
      </c>
      <c r="C63" s="53">
        <f ca="1">ROUND(C56*F63,1)</f>
        <v>901</v>
      </c>
      <c r="D63" s="3168" t="s">
        <v>691</v>
      </c>
      <c r="E63" s="781" t="s">
        <v>649</v>
      </c>
      <c r="F63" s="814">
        <f t="shared" ca="1" si="0"/>
        <v>0.01</v>
      </c>
      <c r="I63" s="3107" t="s">
        <v>2368</v>
      </c>
      <c r="J63" s="3108">
        <v>70</v>
      </c>
      <c r="K63" s="3108">
        <v>50</v>
      </c>
      <c r="L63" s="3108">
        <v>80</v>
      </c>
      <c r="M63" s="3110">
        <v>0.02</v>
      </c>
      <c r="O63" s="2357" t="s">
        <v>2389</v>
      </c>
      <c r="P63" s="2358" t="s">
        <v>2406</v>
      </c>
      <c r="Q63" s="2359">
        <f ca="1">Q57+Q58</f>
        <v>212809</v>
      </c>
      <c r="R63" s="2362" t="s">
        <v>2390</v>
      </c>
    </row>
    <row r="64" spans="1:18" s="2039" customFormat="1" ht="16.2" thickBot="1">
      <c r="A64" s="1629" t="s">
        <v>1890</v>
      </c>
      <c r="B64" s="781" t="s">
        <v>679</v>
      </c>
      <c r="C64" s="53">
        <f ca="1">ROUND(C55*F64,1)</f>
        <v>135.1</v>
      </c>
      <c r="D64" s="3168" t="s">
        <v>680</v>
      </c>
      <c r="E64" s="781" t="s">
        <v>649</v>
      </c>
      <c r="F64" s="815">
        <f t="shared" ca="1" si="0"/>
        <v>1.5E-3</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f ca="1">ROUND(C47*F65,1)</f>
        <v>0</v>
      </c>
      <c r="D65" s="3168" t="s">
        <v>683</v>
      </c>
      <c r="E65" s="781" t="s">
        <v>649</v>
      </c>
      <c r="F65" s="791">
        <f t="shared" ca="1" si="0"/>
        <v>0.01</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f ca="1">C47-C57</f>
        <v>-1042</v>
      </c>
      <c r="D66" s="3169" t="s">
        <v>700</v>
      </c>
      <c r="E66" s="3172"/>
      <c r="F66" s="817"/>
      <c r="K66" s="2066"/>
      <c r="O66" s="2357" t="s">
        <v>2377</v>
      </c>
      <c r="P66" s="2358" t="s">
        <v>2403</v>
      </c>
      <c r="Q66" s="2359">
        <f ca="1">C40+J29</f>
        <v>212809</v>
      </c>
      <c r="R66" s="2358" t="s">
        <v>2378</v>
      </c>
    </row>
    <row r="67" spans="1:18" s="2039" customFormat="1" ht="19.2" thickBot="1">
      <c r="A67" s="778" t="s">
        <v>1780</v>
      </c>
      <c r="B67" s="2212" t="s">
        <v>2299</v>
      </c>
      <c r="C67" s="780">
        <f ca="1">ROUND(C66*(1-((1+F69)/(1+F67))^F68)/(F67-F69),0)</f>
        <v>-16357</v>
      </c>
      <c r="D67" s="811" t="s">
        <v>704</v>
      </c>
      <c r="E67" s="781" t="s">
        <v>705</v>
      </c>
      <c r="F67" s="791">
        <f ca="1">F40</f>
        <v>5.5E-2</v>
      </c>
      <c r="K67" s="2066"/>
      <c r="O67" s="2357" t="s">
        <v>2379</v>
      </c>
      <c r="P67" s="2358" t="s">
        <v>2410</v>
      </c>
      <c r="Q67" s="2359">
        <f ca="1">L60</f>
        <v>0</v>
      </c>
      <c r="R67" s="2362" t="s">
        <v>2412</v>
      </c>
    </row>
    <row r="68" spans="1:18" ht="20.399999999999999" thickBot="1">
      <c r="A68" s="783"/>
      <c r="B68" s="784"/>
      <c r="C68" s="785"/>
      <c r="D68" s="818" t="s">
        <v>1808</v>
      </c>
      <c r="E68" s="781" t="s">
        <v>708</v>
      </c>
      <c r="F68" s="819">
        <f ca="1">F41</f>
        <v>37.18</v>
      </c>
      <c r="O68" s="2360" t="s">
        <v>2381</v>
      </c>
      <c r="P68" s="2358" t="s">
        <v>2411</v>
      </c>
      <c r="Q68" s="2364">
        <f ca="1">L51</f>
        <v>30838</v>
      </c>
      <c r="R68" s="2365" t="s">
        <v>2414</v>
      </c>
    </row>
    <row r="69" spans="1:18" ht="19.2" thickBot="1">
      <c r="A69" s="787"/>
      <c r="B69" s="788"/>
      <c r="C69" s="789"/>
      <c r="D69" s="813"/>
      <c r="E69" s="781" t="s">
        <v>710</v>
      </c>
      <c r="F69" s="2330"/>
      <c r="O69" s="2360" t="s">
        <v>2382</v>
      </c>
      <c r="P69" s="2366" t="s">
        <v>2396</v>
      </c>
      <c r="Q69" s="2359">
        <f ca="1">ROUND(Q70-Q71*Q72,0)</f>
        <v>1809</v>
      </c>
      <c r="R69" s="2362"/>
    </row>
    <row r="70" spans="1:18" ht="16.2" thickBot="1">
      <c r="A70" s="820" t="s">
        <v>1787</v>
      </c>
      <c r="B70" s="821" t="s">
        <v>1810</v>
      </c>
      <c r="C70" s="822">
        <f ca="1">ROUND(C67*10000/F70,0)</f>
        <v>-1635</v>
      </c>
      <c r="D70" s="823" t="s">
        <v>1811</v>
      </c>
      <c r="E70" s="824" t="s">
        <v>1812</v>
      </c>
      <c r="F70" s="825">
        <f ca="1">F43</f>
        <v>100049.19</v>
      </c>
      <c r="O70" s="2360" t="s">
        <v>2397</v>
      </c>
      <c r="P70" s="2366" t="s">
        <v>2398</v>
      </c>
      <c r="Q70" s="2359">
        <f ca="1">C39</f>
        <v>9017</v>
      </c>
      <c r="R70" s="2358" t="s">
        <v>2378</v>
      </c>
    </row>
    <row r="71" spans="1:18" ht="16.2" thickBot="1">
      <c r="O71" s="2360" t="s">
        <v>2399</v>
      </c>
      <c r="P71" s="2366" t="s">
        <v>2400</v>
      </c>
      <c r="Q71" s="2359">
        <f ca="1">C13</f>
        <v>90095</v>
      </c>
      <c r="R71" s="2358" t="s">
        <v>2378</v>
      </c>
    </row>
    <row r="72" spans="1:18" ht="16.2" thickBot="1">
      <c r="O72" s="2360" t="s">
        <v>2401</v>
      </c>
      <c r="P72" s="2366" t="s">
        <v>2402</v>
      </c>
      <c r="Q72" s="2361">
        <f ca="1">J36</f>
        <v>0.08</v>
      </c>
      <c r="R72" s="2362"/>
    </row>
    <row r="73" spans="1:18" ht="16.2" thickBot="1">
      <c r="O73" s="2360" t="s">
        <v>2384</v>
      </c>
      <c r="P73" s="2358" t="s">
        <v>2391</v>
      </c>
      <c r="Q73" s="2361">
        <f>L52</f>
        <v>0</v>
      </c>
      <c r="R73" s="2362"/>
    </row>
    <row r="74" spans="1:18" ht="19.2" thickBot="1">
      <c r="O74" s="2360" t="s">
        <v>2386</v>
      </c>
      <c r="P74" s="2358" t="s">
        <v>2392</v>
      </c>
      <c r="Q74" s="2359" t="e">
        <f ca="1">L58</f>
        <v>#DIV/0!</v>
      </c>
      <c r="R74" s="2362" t="s">
        <v>2393</v>
      </c>
    </row>
    <row r="75" spans="1:18" ht="16.2" thickBot="1">
      <c r="O75" s="2360" t="s">
        <v>2415</v>
      </c>
      <c r="P75" s="2358" t="str">
        <f>K59</f>
        <v>建设期及建筑物耐用年限下的土地年期修正系数Kn</v>
      </c>
      <c r="Q75" s="2359" t="e">
        <f ca="1">L59</f>
        <v>#DIV/0!</v>
      </c>
      <c r="R75" s="2362" t="s">
        <v>2395</v>
      </c>
    </row>
    <row r="76" spans="1:18" ht="16.2" thickBot="1">
      <c r="O76" s="2357" t="s">
        <v>2389</v>
      </c>
      <c r="P76" s="2358" t="s">
        <v>2406</v>
      </c>
      <c r="Q76" s="2359">
        <f ca="1">Q66+Q67</f>
        <v>212809</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xr:uid="{00000000-0002-0000-1D00-000000000000}">
      <formula1>"土地（套用方法）,——"</formula1>
    </dataValidation>
    <dataValidation type="list" allowBlank="1" showInputMessage="1" showErrorMessage="1" sqref="F10 M10 F52" xr:uid="{00000000-0002-0000-1D00-000001000000}">
      <formula1>"押一,押二,押三,自定义"</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J56" xr:uid="{00000000-0002-0000-1D00-000004000000}">
      <formula1>判定</formula1>
    </dataValidation>
    <dataValidation type="list" allowBlank="1" showInputMessage="1" showErrorMessage="1" sqref="D33"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C1:C3" xr:uid="{00000000-0002-0000-1D00-000007000000}">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3172</v>
      </c>
      <c r="D1" s="3063" t="s">
        <v>3055</v>
      </c>
      <c r="E1" s="2346" t="s">
        <v>870</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t="e">
        <f ca="1">C40+J29+L46</f>
        <v>#N/A</v>
      </c>
      <c r="C2" s="2037"/>
      <c r="D2" s="2035"/>
      <c r="E2" s="2036"/>
      <c r="F2" s="2036"/>
      <c r="G2" s="1571"/>
      <c r="H2" s="2037"/>
      <c r="I2" s="2037"/>
      <c r="J2" s="2037"/>
      <c r="K2" s="2038"/>
      <c r="L2" s="2037"/>
      <c r="M2" s="2037"/>
    </row>
    <row r="3" spans="1:33" ht="18" customHeight="1" thickBot="1">
      <c r="A3" s="830" t="s">
        <v>519</v>
      </c>
      <c r="B3" s="831">
        <f ca="1">IF(ISERROR(B2*10000/F43),0,ROUND(B2*10000/F43,0))</f>
        <v>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3" t="s">
        <v>2460</v>
      </c>
      <c r="C6" s="780" t="e">
        <f ca="1">ROUND(F6*F8*F7*(1-F9)/10000,0)</f>
        <v>#N/A</v>
      </c>
      <c r="D6" s="2456" t="s">
        <v>2459</v>
      </c>
      <c r="E6" s="781" t="s">
        <v>637</v>
      </c>
      <c r="F6" s="782" t="e">
        <f ca="1">INDIRECT("'数据-取费表'!u"&amp;$G$1)</f>
        <v>#N/A</v>
      </c>
      <c r="G6" s="1573"/>
      <c r="H6" s="2463" t="s">
        <v>1824</v>
      </c>
      <c r="I6" s="3643" t="s">
        <v>2460</v>
      </c>
      <c r="J6" s="780" t="e">
        <f ca="1">ROUND(M6*M8*M7*(1-M9)/10000,0)</f>
        <v>#N/A</v>
      </c>
      <c r="K6" s="338" t="s">
        <v>636</v>
      </c>
      <c r="L6" s="781" t="s">
        <v>637</v>
      </c>
      <c r="M6" s="782" t="e">
        <f ca="1">INDIRECT("'数据-取费表'!z"&amp;$G$1)</f>
        <v>#N/A</v>
      </c>
    </row>
    <row r="7" spans="1:33" ht="18" customHeight="1">
      <c r="A7" s="2459"/>
      <c r="B7" s="3644"/>
      <c r="C7" s="785"/>
      <c r="D7" s="786"/>
      <c r="E7" s="781" t="s">
        <v>638</v>
      </c>
      <c r="F7" s="782" t="e">
        <f ca="1">IF(INDIRECT("'数据-取费表'!ah"&amp;$G$1)="",INDIRECT("'数据-取费表'!k"&amp;$G$1),INDIRECT("'数据-取费表'!ah"&amp;$G$1))</f>
        <v>#N/A</v>
      </c>
      <c r="G7" s="1573"/>
      <c r="H7" s="2448"/>
      <c r="I7" s="3644"/>
      <c r="J7" s="785"/>
      <c r="K7" s="786"/>
      <c r="L7" s="781" t="s">
        <v>638</v>
      </c>
      <c r="M7" s="782" t="e">
        <f ca="1">F7</f>
        <v>#N/A</v>
      </c>
    </row>
    <row r="8" spans="1:33" ht="18" customHeight="1">
      <c r="A8" s="2452"/>
      <c r="B8" s="3645"/>
      <c r="C8" s="785"/>
      <c r="D8" s="786"/>
      <c r="E8" s="781" t="s">
        <v>639</v>
      </c>
      <c r="F8" s="782" t="e">
        <f ca="1">INDIRECT("'数据-取费表'!ai"&amp;$G$1)</f>
        <v>#N/A</v>
      </c>
      <c r="G8" s="1573"/>
      <c r="H8" s="2448"/>
      <c r="I8" s="3645"/>
      <c r="J8" s="785"/>
      <c r="K8" s="786"/>
      <c r="L8" s="781" t="s">
        <v>639</v>
      </c>
      <c r="M8" s="782" t="e">
        <f ca="1">INDIRECT("'数据-取费表'!ai"&amp;$G$1)</f>
        <v>#N/A</v>
      </c>
    </row>
    <row r="9" spans="1:33" ht="18" customHeight="1">
      <c r="A9" s="783"/>
      <c r="B9" s="3646"/>
      <c r="C9" s="785"/>
      <c r="D9" s="786"/>
      <c r="E9" s="781" t="s">
        <v>640</v>
      </c>
      <c r="F9" s="791" t="e">
        <f ca="1">INDIRECT("'数据-取费表'!w"&amp;$G$1)</f>
        <v>#N/A</v>
      </c>
      <c r="G9" s="1573"/>
      <c r="H9" s="2464"/>
      <c r="I9" s="3645"/>
      <c r="J9" s="785"/>
      <c r="K9" s="786"/>
      <c r="L9" s="792" t="s">
        <v>640</v>
      </c>
      <c r="M9" s="793" t="e">
        <f ca="1">INDIRECT("'数据-取费表'!ab"&amp;$G$1)</f>
        <v>#N/A</v>
      </c>
    </row>
    <row r="10" spans="1:33" ht="18" customHeight="1">
      <c r="A10" s="1810" t="s">
        <v>1825</v>
      </c>
      <c r="B10" s="2453" t="s">
        <v>2456</v>
      </c>
      <c r="C10" s="796" t="e">
        <f ca="1">ROUND(IF(F10="押一",C6/12*F11,IF(F10="押二",C6/12*2*F11,IF(F10="押三",C6/12*3*F11,C11*F11))),0)</f>
        <v>#N/A</v>
      </c>
      <c r="D10" s="2460" t="s">
        <v>2966</v>
      </c>
      <c r="E10" s="2457" t="s">
        <v>2461</v>
      </c>
      <c r="F10" s="3214"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t="e">
        <f ca="1">ROUND(C29*F13,0)</f>
        <v>#N/A</v>
      </c>
      <c r="D13" s="1814" t="s">
        <v>2295</v>
      </c>
      <c r="E13" s="1814" t="s">
        <v>643</v>
      </c>
      <c r="F13" s="2495" t="e">
        <f ca="1">INDIRECT("'数据-取费表'!y"&amp;$G$1)</f>
        <v>#N/A</v>
      </c>
      <c r="G13" s="1573"/>
      <c r="H13" s="1809">
        <v>2</v>
      </c>
      <c r="I13" s="1807" t="s">
        <v>644</v>
      </c>
      <c r="J13" s="1799" t="e">
        <f ca="1">ROUND(J14*J15,0)</f>
        <v>#N/A</v>
      </c>
      <c r="K13" s="1801" t="s">
        <v>642</v>
      </c>
      <c r="L13" s="2511"/>
      <c r="M13" s="2512"/>
    </row>
    <row r="14" spans="1:33" ht="18" customHeight="1">
      <c r="A14" s="1628" t="s">
        <v>1831</v>
      </c>
      <c r="B14" s="781" t="s">
        <v>645</v>
      </c>
      <c r="C14" s="801" t="e">
        <f ca="1">INDIRECT("'数据-取费表'!m"&amp;$G$1)+INDIRECT("'数据-取费表'!t"&amp;$G$1)</f>
        <v>#N/A</v>
      </c>
      <c r="D14" s="3223" t="s">
        <v>646</v>
      </c>
      <c r="E14" s="3222"/>
      <c r="F14" s="802"/>
      <c r="G14" s="1573"/>
      <c r="H14" s="1629" t="s">
        <v>1824</v>
      </c>
      <c r="I14" s="2211" t="s">
        <v>2821</v>
      </c>
      <c r="J14" s="53" t="e">
        <f ca="1">C29</f>
        <v>#N/A</v>
      </c>
      <c r="K14" s="26"/>
      <c r="L14" s="798"/>
      <c r="M14" s="799"/>
    </row>
    <row r="15" spans="1:33" s="2044" customFormat="1" ht="18" customHeight="1" thickBot="1">
      <c r="A15" s="1628" t="s">
        <v>1832</v>
      </c>
      <c r="B15" s="781" t="s">
        <v>647</v>
      </c>
      <c r="C15" s="53" t="e">
        <f ca="1">ROUND(C14*F15,0)</f>
        <v>#N/A</v>
      </c>
      <c r="D15" s="803" t="s">
        <v>648</v>
      </c>
      <c r="E15" s="803" t="s">
        <v>649</v>
      </c>
      <c r="F15" s="804">
        <f>'数据-取费表'!B33</f>
        <v>0.03</v>
      </c>
      <c r="G15" s="1574"/>
      <c r="H15" s="2510" t="s">
        <v>1889</v>
      </c>
      <c r="I15" s="2505" t="s">
        <v>643</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9" t="s">
        <v>7</v>
      </c>
      <c r="I16" s="1807" t="s">
        <v>651</v>
      </c>
      <c r="J16" s="789" t="e">
        <f ca="1">ROUND(J17+J22+J23+J24,0)</f>
        <v>#N/A</v>
      </c>
      <c r="K16" s="1801" t="s">
        <v>652</v>
      </c>
      <c r="L16" s="3225"/>
      <c r="M16" s="2450"/>
    </row>
    <row r="17" spans="1:33" s="2044" customFormat="1" ht="18" customHeight="1">
      <c r="A17" s="1628" t="s">
        <v>1887</v>
      </c>
      <c r="B17" s="781" t="s">
        <v>653</v>
      </c>
      <c r="C17" s="53" t="e">
        <f ca="1">ROUND(F17*(F43+INDIRECT("'数据-取费表'!S"&amp;$G$1))/10000,0)</f>
        <v>#N/A</v>
      </c>
      <c r="D17" s="781" t="s">
        <v>654</v>
      </c>
      <c r="E17" s="781" t="s">
        <v>655</v>
      </c>
      <c r="F17" s="56">
        <f>'数据-取费表'!B35</f>
        <v>200</v>
      </c>
      <c r="G17" s="1574"/>
      <c r="H17" s="1629" t="s">
        <v>1824</v>
      </c>
      <c r="I17" s="781" t="s">
        <v>656</v>
      </c>
      <c r="J17" s="53" t="e">
        <f ca="1">ROUND(IF(项目基本情况!B11="自然人",J6*M17/(1+'数据-取费表'!C42),J18+J19+J20),0)</f>
        <v>#N/A</v>
      </c>
      <c r="K17" s="3223" t="s">
        <v>657</v>
      </c>
      <c r="L17" s="3224"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4"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t="e">
        <f ca="1">SUM(C14:C18)</f>
        <v>#N/A</v>
      </c>
      <c r="D19" s="258" t="s">
        <v>663</v>
      </c>
      <c r="E19" s="3226"/>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4" customFormat="1" ht="18" customHeight="1">
      <c r="A20" s="1629" t="s">
        <v>1889</v>
      </c>
      <c r="B20" s="781" t="s">
        <v>666</v>
      </c>
      <c r="C20" s="53" t="e">
        <f ca="1">ROUND(C19*F20,0)</f>
        <v>#N/A</v>
      </c>
      <c r="D20" s="809" t="s">
        <v>667</v>
      </c>
      <c r="E20" s="781" t="s">
        <v>649</v>
      </c>
      <c r="F20" s="806">
        <f>'数据-取费表'!B37</f>
        <v>1.4999999999999999E-2</v>
      </c>
      <c r="G20" s="1574"/>
      <c r="H20" s="1631" t="s">
        <v>1833</v>
      </c>
      <c r="I20" s="338" t="s">
        <v>668</v>
      </c>
      <c r="J20" s="54" t="e">
        <f ca="1">ROUND(M20*M21/10000,0)</f>
        <v>#N/A</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226"/>
      <c r="F22" s="56"/>
      <c r="G22" s="1573"/>
      <c r="H22" s="1629" t="s">
        <v>1889</v>
      </c>
      <c r="I22" s="781" t="s">
        <v>676</v>
      </c>
      <c r="J22" s="53" t="e">
        <f ca="1">ROUND(J14*M22,0)</f>
        <v>#N/A</v>
      </c>
      <c r="K22" s="3224" t="s">
        <v>677</v>
      </c>
      <c r="L22" s="781" t="s">
        <v>649</v>
      </c>
      <c r="M22" s="814" t="e">
        <f ca="1">INDIRECT("'数据-取费表'!Ak"&amp;$G$1)</f>
        <v>#N/A</v>
      </c>
    </row>
    <row r="23" spans="1:33" s="2044" customFormat="1" ht="18" customHeight="1">
      <c r="A23" s="1628" t="s">
        <v>1831</v>
      </c>
      <c r="B23" s="781" t="s">
        <v>2435</v>
      </c>
      <c r="C23" s="53" t="e">
        <f ca="1">ROUND(IF('数据-取费表'!B22&lt;=1,(C19+C20)*F24*F23/2,(C19+C20)*(POWER((1+F24),F23/2)-1)),0)</f>
        <v>#N/A</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t="e">
        <f ca="1">ROUND(J13*M23,0)</f>
        <v>#N/A</v>
      </c>
      <c r="K23" s="3224" t="s">
        <v>680</v>
      </c>
      <c r="L23" s="781" t="s">
        <v>649</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t="e">
        <f ca="1">ROUND(J5*M24,0)</f>
        <v>#N/A</v>
      </c>
      <c r="K24" s="2504" t="s">
        <v>683</v>
      </c>
      <c r="L24" s="2505" t="s">
        <v>649</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226"/>
      <c r="F25" s="56"/>
      <c r="G25" s="1573"/>
      <c r="H25" s="1809" t="s">
        <v>1776</v>
      </c>
      <c r="I25" s="2956" t="s">
        <v>2818</v>
      </c>
      <c r="J25" s="789" t="e">
        <f ca="1">J5-J16</f>
        <v>#N/A</v>
      </c>
      <c r="K25" s="2507" t="s">
        <v>700</v>
      </c>
      <c r="L25" s="2508"/>
      <c r="M25" s="2509"/>
    </row>
    <row r="26" spans="1:33" ht="18" customHeight="1">
      <c r="A26" s="1628" t="s">
        <v>1831</v>
      </c>
      <c r="B26" s="781" t="s">
        <v>2436</v>
      </c>
      <c r="C26" s="53" t="e">
        <f ca="1">ROUND((C19+C20)*F26,0)</f>
        <v>#N/A</v>
      </c>
      <c r="D26" s="809" t="s">
        <v>701</v>
      </c>
      <c r="E26" s="792" t="s">
        <v>702</v>
      </c>
      <c r="F26" s="791" t="e">
        <f ca="1">INDIRECT("'数据-取费表'!q"&amp;$G$1)</f>
        <v>#N/A</v>
      </c>
      <c r="G26" s="1573"/>
      <c r="H26" s="2461" t="s">
        <v>1780</v>
      </c>
      <c r="I26" s="2212"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2"/>
      <c r="I27" s="784"/>
      <c r="J27" s="785"/>
      <c r="K27" s="818" t="s">
        <v>707</v>
      </c>
      <c r="L27" s="781" t="s">
        <v>708</v>
      </c>
      <c r="M27" s="819" t="e">
        <f ca="1">INDIRECT("'数据-取费表'!ag"&amp;$G$1)</f>
        <v>#N/A</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688</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t="e">
        <f ca="1">ROUND(C31+C36+C37+C38,0)</f>
        <v>#N/A</v>
      </c>
      <c r="D30" s="1801" t="s">
        <v>652</v>
      </c>
      <c r="E30" s="3225"/>
      <c r="F30" s="2450"/>
      <c r="G30" s="2042"/>
      <c r="H30" s="2045"/>
      <c r="I30" s="2046"/>
      <c r="J30" s="2047"/>
      <c r="K30" s="2048"/>
      <c r="L30" s="2049"/>
      <c r="M30" s="2050"/>
    </row>
    <row r="31" spans="1:33" ht="18" customHeight="1">
      <c r="A31" s="1629" t="s">
        <v>1824</v>
      </c>
      <c r="B31" s="781" t="s">
        <v>656</v>
      </c>
      <c r="C31" s="53" t="e">
        <f ca="1">ROUND(IF(项目基本情况!B11="自然人",C6*F31/(1+'数据-取费表'!C42),C32+C33+C34),1)</f>
        <v>#N/A</v>
      </c>
      <c r="D31" s="3223" t="s">
        <v>657</v>
      </c>
      <c r="E31" s="3224"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t="e">
        <f ca="1">ROUND(C6*F32/(1+'数据-取费表'!C42),1)</f>
        <v>#N/A</v>
      </c>
      <c r="D32" s="3224"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t="e">
        <f ca="1">IF(D33="按租金收入计税",ROUND(C6*F33/(1+'数据-取费表'!C42),1),IF(D33="按房产原值计税",ROUND(C29*F33*0.7,1),INDIRECT("'数据-取费表'!Aj"&amp;$G$1)))</f>
        <v>#N/A</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t="e">
        <f ca="1">ROUND(F34*F35/10000,1)</f>
        <v>#N/A</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t="e">
        <f ca="1">INDIRECT("'数据-取费表'!r"&amp;$G$1)</f>
        <v>#N/A</v>
      </c>
      <c r="G35" s="2042"/>
      <c r="H35" s="2045"/>
      <c r="I35" s="834" t="s">
        <v>1814</v>
      </c>
      <c r="J35" s="835" t="e">
        <f ca="1">ROUND(C13*J36,0)</f>
        <v>#N/A</v>
      </c>
      <c r="K35" s="2058"/>
      <c r="L35" s="2057"/>
      <c r="M35" s="2057"/>
    </row>
    <row r="36" spans="1:18" ht="18" customHeight="1">
      <c r="A36" s="1629" t="s">
        <v>1889</v>
      </c>
      <c r="B36" s="781" t="s">
        <v>676</v>
      </c>
      <c r="C36" s="53" t="e">
        <f ca="1">ROUND(C29*F36,1)</f>
        <v>#N/A</v>
      </c>
      <c r="D36" s="3224" t="s">
        <v>691</v>
      </c>
      <c r="E36" s="781" t="s">
        <v>649</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3224" t="s">
        <v>680</v>
      </c>
      <c r="E37" s="781" t="s">
        <v>649</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683</v>
      </c>
      <c r="E38" s="2505" t="s">
        <v>649</v>
      </c>
      <c r="F38" s="2501" t="e">
        <f ca="1">INDIRECT("'数据-取费表'!Am"&amp;$G$1)</f>
        <v>#N/A</v>
      </c>
      <c r="G38" s="2042"/>
      <c r="H38" s="2057"/>
      <c r="I38" s="840" t="s">
        <v>1817</v>
      </c>
      <c r="J38" s="841"/>
      <c r="K38" s="2063"/>
      <c r="L38" s="2057"/>
      <c r="M38" s="2057"/>
    </row>
    <row r="39" spans="1:18" ht="24.6" customHeight="1" thickTop="1">
      <c r="A39" s="1809" t="s">
        <v>1776</v>
      </c>
      <c r="B39" s="2956" t="s">
        <v>2818</v>
      </c>
      <c r="C39" s="789" t="e">
        <f ca="1">C5-C30</f>
        <v>#N/A</v>
      </c>
      <c r="D39" s="2507" t="s">
        <v>700</v>
      </c>
      <c r="E39" s="2508"/>
      <c r="F39" s="2509"/>
      <c r="G39" s="2042"/>
      <c r="H39" s="2057"/>
      <c r="I39" s="834" t="s">
        <v>1818</v>
      </c>
      <c r="J39" s="842" t="e">
        <f ca="1">ROUND(J35/C39,3)</f>
        <v>#N/A</v>
      </c>
      <c r="K39" s="2063"/>
      <c r="L39" s="2057"/>
      <c r="M39" s="2057"/>
    </row>
    <row r="40" spans="1:18" ht="18" customHeight="1">
      <c r="A40" s="778" t="s">
        <v>1780</v>
      </c>
      <c r="B40" s="2212" t="s">
        <v>2299</v>
      </c>
      <c r="C40" s="780" t="e">
        <f ca="1">ROUND(C39*(1-((1+F42)/(1+F40))^F41)/(F40-F42),0)</f>
        <v>#N/A</v>
      </c>
      <c r="D40" s="811" t="s">
        <v>704</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708</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710</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638</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639</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7" t="s">
        <v>2958</v>
      </c>
      <c r="L53" s="3648"/>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2298</v>
      </c>
      <c r="C56" s="53" t="e">
        <f ca="1">C29</f>
        <v>#N/A</v>
      </c>
      <c r="D56" s="3224"/>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7</v>
      </c>
      <c r="B57" s="795" t="s">
        <v>651</v>
      </c>
      <c r="C57" s="796" t="e">
        <f ca="1">ROUND(C58+C63+C64+C65,0)</f>
        <v>#N/A</v>
      </c>
      <c r="D57" s="26" t="s">
        <v>652</v>
      </c>
      <c r="E57" s="3226"/>
      <c r="F57" s="56"/>
      <c r="I57" s="3102" t="s">
        <v>2356</v>
      </c>
      <c r="J57" s="3103" t="e">
        <f ca="1">IF(OR(M47="住宅",J51&lt;L48,J56="是"),"——",J51-L48)</f>
        <v>#N/A</v>
      </c>
      <c r="K57" s="3064" t="s">
        <v>2361</v>
      </c>
      <c r="L57" s="1888" t="e">
        <f ca="1">IF(L48&lt;J51,"——",IF(L55="比较法",L49,IF(L55="基准地价",L50,L51)))</f>
        <v>#N/A</v>
      </c>
      <c r="O57" s="2357" t="s">
        <v>2377</v>
      </c>
      <c r="P57" s="2358" t="s">
        <v>2403</v>
      </c>
      <c r="Q57" s="2359" t="e">
        <f ca="1">C40+J29</f>
        <v>#N/A</v>
      </c>
      <c r="R57" s="2358" t="s">
        <v>2378</v>
      </c>
    </row>
    <row r="58" spans="1:18" s="2039" customFormat="1" ht="28.5" customHeight="1" thickBot="1">
      <c r="A58" s="1629" t="s">
        <v>1824</v>
      </c>
      <c r="B58" s="781" t="s">
        <v>656</v>
      </c>
      <c r="C58" s="53" t="e">
        <f ca="1">ROUND(IF(项目基本情况!B11="自然人",C47*F58,C59+C60+C61),1)</f>
        <v>#N/A</v>
      </c>
      <c r="D58" s="3223" t="s">
        <v>657</v>
      </c>
      <c r="E58" s="3224"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3224" t="s">
        <v>661</v>
      </c>
      <c r="E59" s="781" t="s">
        <v>649</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664</v>
      </c>
      <c r="C60" s="53" t="e">
        <f ca="1">IF(D60="按租金收入计税",ROUND(C47*F60,1),IF(D60="按房产原值计税",ROUND(C56*F60*0.7,1),INDIRECT("'数据-取费表'!Aj"&amp;$G$1)))</f>
        <v>#N/A</v>
      </c>
      <c r="D60" s="3224" t="str">
        <f>D33</f>
        <v>按租金收入计税</v>
      </c>
      <c r="E60" s="781" t="s">
        <v>649</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3224" t="s">
        <v>691</v>
      </c>
      <c r="E63" s="781" t="s">
        <v>649</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3224" t="s">
        <v>680</v>
      </c>
      <c r="E64" s="781" t="s">
        <v>649</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3224" t="s">
        <v>683</v>
      </c>
      <c r="E65" s="781" t="s">
        <v>649</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3223" t="s">
        <v>700</v>
      </c>
      <c r="E66" s="3221"/>
      <c r="F66" s="817"/>
      <c r="K66" s="2066"/>
      <c r="O66" s="2357" t="s">
        <v>2377</v>
      </c>
      <c r="P66" s="2358" t="s">
        <v>2403</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708</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J56" xr:uid="{00000000-0002-0000-1E00-000004000000}">
      <formula1>判定</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35</v>
      </c>
      <c r="D1" s="3063" t="s">
        <v>3055</v>
      </c>
      <c r="E1" s="2346" t="s">
        <v>2372</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2" t="e">
        <f ca="1">C40+J29+L46</f>
        <v>#N/A</v>
      </c>
      <c r="C2" s="2037"/>
      <c r="D2" s="2035"/>
      <c r="E2" s="2036"/>
      <c r="F2" s="2036"/>
      <c r="G2" s="1571"/>
      <c r="H2" s="2037"/>
      <c r="I2" s="2037"/>
      <c r="J2" s="2037"/>
      <c r="K2" s="2038"/>
      <c r="L2" s="2037"/>
      <c r="M2" s="2037"/>
    </row>
    <row r="3" spans="1:33" ht="18" customHeight="1" thickBot="1">
      <c r="A3" s="830" t="s">
        <v>1727</v>
      </c>
      <c r="B3" s="831">
        <f ca="1">IF(ISERROR(B2*10000/F43),0,ROUND(B2*10000/F43,0))</f>
        <v>0</v>
      </c>
      <c r="C3" s="2037"/>
      <c r="D3" s="2035"/>
      <c r="E3" s="2036"/>
      <c r="F3" s="2036"/>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3" t="s">
        <v>2460</v>
      </c>
      <c r="C6" s="780" t="e">
        <f ca="1">ROUND(F6*F8*F7*(1-F9)/10000,0)</f>
        <v>#N/A</v>
      </c>
      <c r="D6" s="2456" t="s">
        <v>2459</v>
      </c>
      <c r="E6" s="781" t="s">
        <v>1738</v>
      </c>
      <c r="F6" s="782" t="e">
        <f ca="1">INDIRECT("'数据-取费表'!u"&amp;$G$1)</f>
        <v>#N/A</v>
      </c>
      <c r="G6" s="1573"/>
      <c r="H6" s="2463" t="s">
        <v>2465</v>
      </c>
      <c r="I6" s="3643" t="s">
        <v>2460</v>
      </c>
      <c r="J6" s="780" t="e">
        <f ca="1">ROUND(M6*M8*M7*(1-M9)/10000,0)</f>
        <v>#N/A</v>
      </c>
      <c r="K6" s="338" t="s">
        <v>1737</v>
      </c>
      <c r="L6" s="781" t="s">
        <v>1738</v>
      </c>
      <c r="M6" s="782" t="e">
        <f ca="1">INDIRECT("'数据-取费表'!z"&amp;$G$1)</f>
        <v>#N/A</v>
      </c>
    </row>
    <row r="7" spans="1:33" ht="18" customHeight="1">
      <c r="A7" s="2459"/>
      <c r="B7" s="3644"/>
      <c r="C7" s="785"/>
      <c r="D7" s="786"/>
      <c r="E7" s="781" t="s">
        <v>1739</v>
      </c>
      <c r="F7" s="782" t="e">
        <f ca="1">IF(INDIRECT("'数据-取费表'!ah"&amp;$G$1)="",INDIRECT("'数据-取费表'!k"&amp;$G$1),INDIRECT("'数据-取费表'!ah"&amp;$G$1))</f>
        <v>#N/A</v>
      </c>
      <c r="G7" s="1573"/>
      <c r="H7" s="2448"/>
      <c r="I7" s="3644"/>
      <c r="J7" s="785"/>
      <c r="K7" s="786"/>
      <c r="L7" s="781" t="s">
        <v>1739</v>
      </c>
      <c r="M7" s="782" t="e">
        <f ca="1">F7</f>
        <v>#N/A</v>
      </c>
    </row>
    <row r="8" spans="1:33" ht="18" customHeight="1">
      <c r="A8" s="2452"/>
      <c r="B8" s="3645"/>
      <c r="C8" s="785"/>
      <c r="D8" s="786"/>
      <c r="E8" s="781" t="s">
        <v>1740</v>
      </c>
      <c r="F8" s="782" t="e">
        <f ca="1">INDIRECT("'数据-取费表'!ai"&amp;$G$1)</f>
        <v>#N/A</v>
      </c>
      <c r="G8" s="1573"/>
      <c r="H8" s="2448"/>
      <c r="I8" s="3645"/>
      <c r="J8" s="785"/>
      <c r="K8" s="786"/>
      <c r="L8" s="781" t="s">
        <v>1740</v>
      </c>
      <c r="M8" s="782" t="e">
        <f ca="1">INDIRECT("'数据-取费表'!ai"&amp;$G$1)</f>
        <v>#N/A</v>
      </c>
    </row>
    <row r="9" spans="1:33" ht="18" customHeight="1">
      <c r="A9" s="783"/>
      <c r="B9" s="3646"/>
      <c r="C9" s="785"/>
      <c r="D9" s="786"/>
      <c r="E9" s="781" t="s">
        <v>1741</v>
      </c>
      <c r="F9" s="791" t="e">
        <f ca="1">INDIRECT("'数据-取费表'!w"&amp;$G$1)</f>
        <v>#N/A</v>
      </c>
      <c r="G9" s="1573"/>
      <c r="H9" s="2464"/>
      <c r="I9" s="3645"/>
      <c r="J9" s="785"/>
      <c r="K9" s="786"/>
      <c r="L9" s="792" t="s">
        <v>1741</v>
      </c>
      <c r="M9" s="793" t="e">
        <f ca="1">INDIRECT("'数据-取费表'!ab"&amp;$G$1)</f>
        <v>#N/A</v>
      </c>
    </row>
    <row r="10" spans="1:33" ht="18" customHeight="1">
      <c r="A10" s="1810" t="s">
        <v>2463</v>
      </c>
      <c r="B10" s="2453" t="s">
        <v>2456</v>
      </c>
      <c r="C10" s="796">
        <f ca="1">ROUND(IF(F10="押一",C6/12*F11,IF(F10="押二",C6/12*2*F11,IF(F10="押三",C6/12*3*F11,C11*F11))),0)</f>
        <v>0</v>
      </c>
      <c r="D10" s="2460" t="s">
        <v>2966</v>
      </c>
      <c r="E10" s="2457" t="s">
        <v>2461</v>
      </c>
      <c r="F10" s="3214" t="s">
        <v>3103</v>
      </c>
      <c r="G10" s="1573"/>
      <c r="H10" s="2520" t="s">
        <v>2466</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2462</v>
      </c>
      <c r="F11" s="793">
        <f ca="1">'数据-取费表'!B39</f>
        <v>1.4999999999999999E-2</v>
      </c>
      <c r="G11" s="1573"/>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3"/>
      <c r="H12" s="2510" t="s">
        <v>2467</v>
      </c>
      <c r="I12" s="2523" t="s">
        <v>2457</v>
      </c>
      <c r="J12" s="2524"/>
      <c r="K12" s="2499"/>
      <c r="L12" s="2500"/>
      <c r="M12" s="2513"/>
    </row>
    <row r="13" spans="1:33" ht="18" customHeight="1" thickTop="1">
      <c r="A13" s="1809">
        <v>2</v>
      </c>
      <c r="B13" s="1807" t="s">
        <v>1742</v>
      </c>
      <c r="C13" s="789" t="e">
        <f ca="1">ROUND(C29*F13,0)</f>
        <v>#N/A</v>
      </c>
      <c r="D13" s="1814" t="s">
        <v>2295</v>
      </c>
      <c r="E13" s="1814" t="s">
        <v>1744</v>
      </c>
      <c r="F13" s="2495" t="e">
        <f ca="1">INDIRECT("'数据-取费表'!y"&amp;$G$1)</f>
        <v>#N/A</v>
      </c>
      <c r="G13" s="1573"/>
      <c r="H13" s="1809">
        <v>2</v>
      </c>
      <c r="I13" s="1807" t="s">
        <v>1742</v>
      </c>
      <c r="J13" s="1799" t="e">
        <f ca="1">ROUND(J14*J15,0)</f>
        <v>#N/A</v>
      </c>
      <c r="K13" s="1801" t="s">
        <v>1743</v>
      </c>
      <c r="L13" s="2511"/>
      <c r="M13" s="2512"/>
    </row>
    <row r="14" spans="1:33" ht="18" customHeight="1">
      <c r="A14" s="1628" t="s">
        <v>1884</v>
      </c>
      <c r="B14" s="781" t="s">
        <v>645</v>
      </c>
      <c r="C14" s="801" t="e">
        <f ca="1">INDIRECT("'数据-取费表'!m"&amp;$G$1)+INDIRECT("'数据-取费表'!t"&amp;$G$1)</f>
        <v>#N/A</v>
      </c>
      <c r="D14" s="1959" t="s">
        <v>1745</v>
      </c>
      <c r="E14" s="1960"/>
      <c r="F14" s="802"/>
      <c r="G14" s="1573"/>
      <c r="H14" s="1629" t="s">
        <v>1830</v>
      </c>
      <c r="I14" s="2211" t="s">
        <v>2822</v>
      </c>
      <c r="J14" s="53" t="e">
        <f ca="1">C29</f>
        <v>#N/A</v>
      </c>
      <c r="K14" s="26"/>
      <c r="L14" s="798"/>
      <c r="M14" s="799"/>
    </row>
    <row r="15" spans="1:33" s="2044" customFormat="1" ht="18" customHeight="1" thickBot="1">
      <c r="A15" s="1628" t="s">
        <v>1885</v>
      </c>
      <c r="B15" s="781" t="s">
        <v>647</v>
      </c>
      <c r="C15" s="53" t="e">
        <f ca="1">ROUND(C14*F15,0)</f>
        <v>#N/A</v>
      </c>
      <c r="D15" s="803" t="s">
        <v>1746</v>
      </c>
      <c r="E15" s="803" t="s">
        <v>1747</v>
      </c>
      <c r="F15" s="804">
        <f>'数据-取费表'!B33</f>
        <v>0.03</v>
      </c>
      <c r="G15" s="1574"/>
      <c r="H15" s="2510" t="s">
        <v>1889</v>
      </c>
      <c r="I15" s="2505" t="s">
        <v>1744</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9" t="s">
        <v>1748</v>
      </c>
      <c r="I16" s="1807" t="s">
        <v>1749</v>
      </c>
      <c r="J16" s="789" t="e">
        <f ca="1">ROUND(J17+J22+J23+J24,0)</f>
        <v>#N/A</v>
      </c>
      <c r="K16" s="1801" t="s">
        <v>1750</v>
      </c>
      <c r="L16" s="2445"/>
      <c r="M16" s="2450"/>
    </row>
    <row r="17" spans="1:33" s="2044" customFormat="1" ht="18" customHeight="1">
      <c r="A17" s="1628" t="s">
        <v>1887</v>
      </c>
      <c r="B17" s="781" t="s">
        <v>653</v>
      </c>
      <c r="C17" s="53" t="e">
        <f ca="1">ROUND(F17*(F43+INDIRECT("'数据-取费表'!S"&amp;$G$1))/10000,0)</f>
        <v>#N/A</v>
      </c>
      <c r="D17" s="781" t="s">
        <v>1751</v>
      </c>
      <c r="E17" s="781" t="s">
        <v>1752</v>
      </c>
      <c r="F17" s="56">
        <f>'数据-取费表'!B35</f>
        <v>200</v>
      </c>
      <c r="G17" s="1574"/>
      <c r="H17" s="1629" t="s">
        <v>1830</v>
      </c>
      <c r="I17" s="781" t="s">
        <v>656</v>
      </c>
      <c r="J17" s="53" t="e">
        <f ca="1">ROUND(IF(项目基本情况!B11="自然人",J6*M17/(1+'数据-取费表'!C42),J18+J19+J20),0)</f>
        <v>#N/A</v>
      </c>
      <c r="K17" s="2444" t="s">
        <v>1753</v>
      </c>
      <c r="L17" s="2443" t="s">
        <v>1754</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3" t="s">
        <v>1756</v>
      </c>
      <c r="L18" s="781" t="s">
        <v>1747</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1" t="s">
        <v>662</v>
      </c>
      <c r="C19" s="53" t="e">
        <f ca="1">SUM(C14:C18)</f>
        <v>#N/A</v>
      </c>
      <c r="D19" s="258" t="s">
        <v>1757</v>
      </c>
      <c r="E19" s="1962"/>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4" customFormat="1" ht="18" customHeight="1">
      <c r="A20" s="1629" t="s">
        <v>1889</v>
      </c>
      <c r="B20" s="781" t="s">
        <v>666</v>
      </c>
      <c r="C20" s="53" t="e">
        <f ca="1">ROUND(C19*F20,0)</f>
        <v>#N/A</v>
      </c>
      <c r="D20" s="809" t="s">
        <v>1759</v>
      </c>
      <c r="E20" s="781" t="s">
        <v>1747</v>
      </c>
      <c r="F20" s="806">
        <f>'数据-取费表'!B37</f>
        <v>1.4999999999999999E-2</v>
      </c>
      <c r="G20" s="1574"/>
      <c r="H20" s="1631" t="s">
        <v>1880</v>
      </c>
      <c r="I20" s="338" t="s">
        <v>1760</v>
      </c>
      <c r="J20" s="54" t="e">
        <f ca="1">ROUND(M20*M21/10000,0)</f>
        <v>#N/A</v>
      </c>
      <c r="K20" s="811" t="s">
        <v>1761</v>
      </c>
      <c r="L20" s="781" t="s">
        <v>1762</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1763</v>
      </c>
      <c r="C21" s="53" t="s">
        <v>1764</v>
      </c>
      <c r="D21" s="809" t="s">
        <v>2296</v>
      </c>
      <c r="E21" s="781" t="s">
        <v>1765</v>
      </c>
      <c r="F21" s="806">
        <f>'数据-取费表'!B38</f>
        <v>0.01</v>
      </c>
      <c r="G21" s="1574"/>
      <c r="H21" s="2465"/>
      <c r="I21" s="790"/>
      <c r="J21" s="69"/>
      <c r="K21" s="813"/>
      <c r="L21" s="781" t="s">
        <v>1766</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1767</v>
      </c>
      <c r="C22" s="53"/>
      <c r="D22" s="2531" t="str">
        <f>IF(F23&lt;=1,"单利计息。","复利计息。")&amp;"建造成本、管理费用、销售费用产生的利息。"</f>
        <v>复利计息。建造成本、管理费用、销售费用产生的利息。</v>
      </c>
      <c r="E22" s="1962"/>
      <c r="F22" s="56"/>
      <c r="G22" s="1573"/>
      <c r="H22" s="1629" t="s">
        <v>1889</v>
      </c>
      <c r="I22" s="781" t="s">
        <v>1768</v>
      </c>
      <c r="J22" s="53" t="e">
        <f ca="1">ROUND(J14*M22,0)</f>
        <v>#N/A</v>
      </c>
      <c r="K22" s="2443" t="s">
        <v>1769</v>
      </c>
      <c r="L22" s="781" t="s">
        <v>1747</v>
      </c>
      <c r="M22" s="814" t="e">
        <f ca="1">INDIRECT("'数据-取费表'!Ak"&amp;$G$1)</f>
        <v>#N/A</v>
      </c>
    </row>
    <row r="23" spans="1:33" s="2044" customFormat="1" ht="18" customHeight="1">
      <c r="A23" s="1628" t="s">
        <v>1831</v>
      </c>
      <c r="B23" s="781" t="s">
        <v>2532</v>
      </c>
      <c r="C23" s="53" t="e">
        <f ca="1">ROUND(IF('数据-取费表'!B22&lt;=1,(C19+C20)*F24*F23/2,(C19+C20)*(POWER((1+F24),F23/2)-1)),0)</f>
        <v>#N/A</v>
      </c>
      <c r="D23" s="2530" t="str">
        <f>IF(F23&lt;=1,"(建造成本+管理费用)×利率×(建设周期÷2)","(建造成本+管理费用)×((1+利率)^(建设周期÷2)-1)")</f>
        <v>(建造成本+管理费用)×((1+利率)^(建设周期÷2)-1)</v>
      </c>
      <c r="E23" s="781" t="s">
        <v>1770</v>
      </c>
      <c r="F23" s="637">
        <f>'数据-取费表'!B20</f>
        <v>2</v>
      </c>
      <c r="G23" s="1574"/>
      <c r="H23" s="1629" t="s">
        <v>1890</v>
      </c>
      <c r="I23" s="781" t="s">
        <v>679</v>
      </c>
      <c r="J23" s="53" t="e">
        <f ca="1">ROUND(J13*M23,0)</f>
        <v>#N/A</v>
      </c>
      <c r="K23" s="2443" t="s">
        <v>1771</v>
      </c>
      <c r="L23" s="781" t="s">
        <v>1747</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1772</v>
      </c>
      <c r="C24" s="53">
        <f ca="1">ROUND(IF('数据-取费表'!B22&lt;=1,F21*F24*F23/2,F21*(POWER((1+F24),F23/2)-1)),4)</f>
        <v>5.0000000000000001E-4</v>
      </c>
      <c r="D24" s="2530" t="str">
        <f>IF(F23&lt;=1,"销售费用×利率×(建设周期÷2)","销售费用×((1+利率)^(建设周期÷2)-1)")</f>
        <v>销售费用×((1+利率)^(建设周期÷2)-1)</v>
      </c>
      <c r="E24" s="781" t="s">
        <v>1773</v>
      </c>
      <c r="F24" s="816">
        <f ca="1">'数据-取费表'!B40</f>
        <v>4.7500000000000001E-2</v>
      </c>
      <c r="G24" s="1574"/>
      <c r="H24" s="2510" t="s">
        <v>1891</v>
      </c>
      <c r="I24" s="2505" t="s">
        <v>666</v>
      </c>
      <c r="J24" s="2503" t="e">
        <f ca="1">ROUND(J5*M24,0)</f>
        <v>#N/A</v>
      </c>
      <c r="K24" s="2504" t="s">
        <v>1774</v>
      </c>
      <c r="L24" s="2505" t="s">
        <v>1747</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1775</v>
      </c>
      <c r="E25" s="1962"/>
      <c r="F25" s="56"/>
      <c r="G25" s="1573"/>
      <c r="H25" s="1809" t="s">
        <v>1776</v>
      </c>
      <c r="I25" s="2956" t="s">
        <v>2818</v>
      </c>
      <c r="J25" s="789" t="e">
        <f ca="1">J5-J16</f>
        <v>#N/A</v>
      </c>
      <c r="K25" s="2507" t="s">
        <v>1777</v>
      </c>
      <c r="L25" s="2508"/>
      <c r="M25" s="2509"/>
    </row>
    <row r="26" spans="1:33" ht="18" customHeight="1">
      <c r="A26" s="1628" t="s">
        <v>1831</v>
      </c>
      <c r="B26" s="781" t="s">
        <v>2436</v>
      </c>
      <c r="C26" s="53" t="e">
        <f ca="1">ROUND((C19+C20)*F26,0)</f>
        <v>#N/A</v>
      </c>
      <c r="D26" s="809" t="s">
        <v>1778</v>
      </c>
      <c r="E26" s="792" t="s">
        <v>1779</v>
      </c>
      <c r="F26" s="791" t="e">
        <f ca="1">INDIRECT("'数据-取费表'!q"&amp;$G$1)</f>
        <v>#N/A</v>
      </c>
      <c r="G26" s="1573"/>
      <c r="H26" s="2461" t="s">
        <v>1780</v>
      </c>
      <c r="I26" s="2212"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2"/>
      <c r="I27" s="784"/>
      <c r="J27" s="785"/>
      <c r="K27" s="818" t="s">
        <v>1783</v>
      </c>
      <c r="L27" s="781" t="s">
        <v>1784</v>
      </c>
      <c r="M27" s="819" t="e">
        <f ca="1">INDIRECT("'数据-取费表'!ag"&amp;$G$1)</f>
        <v>#N/A</v>
      </c>
    </row>
    <row r="28" spans="1:33" s="2044" customFormat="1" ht="18" customHeight="1">
      <c r="A28" s="1630" t="s">
        <v>1841</v>
      </c>
      <c r="B28" s="781" t="s">
        <v>687</v>
      </c>
      <c r="C28" s="53">
        <f>ROUND(F28/(1+'数据-取费表'!C42),4)</f>
        <v>5.2400000000000002E-2</v>
      </c>
      <c r="D28" s="809" t="s">
        <v>2297</v>
      </c>
      <c r="E28" s="781" t="s">
        <v>1785</v>
      </c>
      <c r="F28" s="806">
        <f>'数据-取费表'!B41</f>
        <v>5.5000000000000007E-2</v>
      </c>
      <c r="G28" s="1574"/>
      <c r="H28" s="1809"/>
      <c r="I28" s="788"/>
      <c r="J28" s="789"/>
      <c r="K28" s="813"/>
      <c r="L28" s="781" t="s">
        <v>1786</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1789</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9" t="e">
        <f ca="1">ROUND(C31+C36+C37+C38,0)</f>
        <v>#N/A</v>
      </c>
      <c r="D30" s="1801" t="s">
        <v>1791</v>
      </c>
      <c r="E30" s="2445"/>
      <c r="F30" s="2450"/>
      <c r="G30" s="2042"/>
      <c r="H30" s="2045"/>
      <c r="I30" s="2046"/>
      <c r="J30" s="2047"/>
      <c r="K30" s="2048"/>
      <c r="L30" s="2049"/>
      <c r="M30" s="2050"/>
    </row>
    <row r="31" spans="1:33" ht="18" customHeight="1">
      <c r="A31" s="1629" t="s">
        <v>1830</v>
      </c>
      <c r="B31" s="781" t="s">
        <v>656</v>
      </c>
      <c r="C31" s="53" t="e">
        <f ca="1">ROUND(IF(项目基本情况!B11="自然人",C6*F31/(1+'数据-取费表'!C42),C32+C33+C34),1)</f>
        <v>#N/A</v>
      </c>
      <c r="D31" s="1959" t="s">
        <v>1792</v>
      </c>
      <c r="E31" s="1957" t="s">
        <v>1793</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1794</v>
      </c>
      <c r="C32" s="53" t="e">
        <f ca="1">ROUND(C6*F32/(1+'数据-取费表'!C42),1)</f>
        <v>#N/A</v>
      </c>
      <c r="D32" s="1957" t="s">
        <v>1795</v>
      </c>
      <c r="E32" s="781" t="s">
        <v>1796</v>
      </c>
      <c r="F32" s="806">
        <f>'数据-取费表'!B41</f>
        <v>5.5000000000000007E-2</v>
      </c>
      <c r="G32" s="2042"/>
      <c r="H32" s="2051"/>
      <c r="I32" s="2052"/>
      <c r="J32" s="2053"/>
      <c r="K32" s="2054"/>
      <c r="L32" s="2055"/>
      <c r="M32" s="2056"/>
    </row>
    <row r="33" spans="1:18" ht="18" customHeight="1">
      <c r="A33" s="1628" t="s">
        <v>1832</v>
      </c>
      <c r="B33" s="781" t="s">
        <v>1797</v>
      </c>
      <c r="C33" s="53" t="e">
        <f ca="1">IF(D33="按租金收入计税",ROUND(C6*F33/(1+'数据-取费表'!C42),1),IF(D33="按房产原值计税",ROUND(C29*F33*0.7,1),INDIRECT("'数据-取费表'!Aj"&amp;$G$1)))</f>
        <v>#N/A</v>
      </c>
      <c r="D33" s="808" t="s">
        <v>3050</v>
      </c>
      <c r="E33" s="781" t="s">
        <v>1796</v>
      </c>
      <c r="F33" s="806">
        <f>IF(D33="按租金收入计税",'数据-取费表'!B51,'数据-取费表'!B50)</f>
        <v>0.12</v>
      </c>
      <c r="G33" s="2042"/>
      <c r="H33" s="2057"/>
      <c r="I33" s="2057"/>
      <c r="J33" s="2057"/>
      <c r="K33" s="2058"/>
      <c r="L33" s="2057"/>
      <c r="M33" s="2057"/>
    </row>
    <row r="34" spans="1:18" ht="18" customHeight="1">
      <c r="A34" s="1631" t="s">
        <v>1833</v>
      </c>
      <c r="B34" s="338" t="s">
        <v>1798</v>
      </c>
      <c r="C34" s="54" t="e">
        <f ca="1">ROUND(F34*F35/10000,1)</f>
        <v>#N/A</v>
      </c>
      <c r="D34" s="811" t="s">
        <v>1799</v>
      </c>
      <c r="E34" s="781" t="s">
        <v>1800</v>
      </c>
      <c r="F34" s="637">
        <f>'数据-取费表'!B52</f>
        <v>1.5</v>
      </c>
      <c r="G34" s="2042"/>
      <c r="H34" s="2045"/>
      <c r="I34" s="832" t="s">
        <v>1813</v>
      </c>
      <c r="J34" s="833"/>
      <c r="K34" s="2060"/>
      <c r="L34" s="2059"/>
      <c r="M34" s="2059"/>
    </row>
    <row r="35" spans="1:18" ht="18" customHeight="1">
      <c r="A35" s="812"/>
      <c r="B35" s="790"/>
      <c r="C35" s="69"/>
      <c r="D35" s="813"/>
      <c r="E35" s="781" t="s">
        <v>1801</v>
      </c>
      <c r="F35" s="782" t="e">
        <f ca="1">INDIRECT("'数据-取费表'!r"&amp;$G$1)</f>
        <v>#N/A</v>
      </c>
      <c r="G35" s="2042"/>
      <c r="H35" s="2045"/>
      <c r="I35" s="834" t="s">
        <v>1814</v>
      </c>
      <c r="J35" s="835" t="e">
        <f ca="1">ROUND(C13*J36,0)</f>
        <v>#N/A</v>
      </c>
      <c r="K35" s="2058"/>
      <c r="L35" s="2057"/>
      <c r="M35" s="2057"/>
    </row>
    <row r="36" spans="1:18" ht="18" customHeight="1">
      <c r="A36" s="1629" t="s">
        <v>1889</v>
      </c>
      <c r="B36" s="781" t="s">
        <v>1802</v>
      </c>
      <c r="C36" s="53" t="e">
        <f ca="1">ROUND(C29*F36,1)</f>
        <v>#N/A</v>
      </c>
      <c r="D36" s="1957" t="s">
        <v>1803</v>
      </c>
      <c r="E36" s="781" t="s">
        <v>1796</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1957" t="s">
        <v>1804</v>
      </c>
      <c r="E37" s="781" t="s">
        <v>1796</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1805</v>
      </c>
      <c r="E38" s="2505" t="s">
        <v>1796</v>
      </c>
      <c r="F38" s="2501" t="e">
        <f ca="1">INDIRECT("'数据-取费表'!Am"&amp;$G$1)</f>
        <v>#N/A</v>
      </c>
      <c r="G38" s="2042"/>
      <c r="H38" s="2057"/>
      <c r="I38" s="840" t="s">
        <v>1817</v>
      </c>
      <c r="J38" s="841"/>
      <c r="K38" s="2063"/>
      <c r="L38" s="2057"/>
      <c r="M38" s="2057"/>
    </row>
    <row r="39" spans="1:18" ht="24.6" customHeight="1" thickTop="1">
      <c r="A39" s="1809" t="s">
        <v>1894</v>
      </c>
      <c r="B39" s="2956" t="s">
        <v>2818</v>
      </c>
      <c r="C39" s="789" t="e">
        <f ca="1">C5-C30</f>
        <v>#N/A</v>
      </c>
      <c r="D39" s="2507" t="s">
        <v>1806</v>
      </c>
      <c r="E39" s="2508"/>
      <c r="F39" s="2509"/>
      <c r="G39" s="2042"/>
      <c r="H39" s="2057"/>
      <c r="I39" s="834" t="s">
        <v>1818</v>
      </c>
      <c r="J39" s="842" t="e">
        <f ca="1">ROUND(J35/C39,3)</f>
        <v>#N/A</v>
      </c>
      <c r="K39" s="2063"/>
      <c r="L39" s="2057"/>
      <c r="M39" s="2057"/>
    </row>
    <row r="40" spans="1:18" ht="18" customHeight="1">
      <c r="A40" s="778" t="s">
        <v>1895</v>
      </c>
      <c r="B40" s="2212" t="s">
        <v>2299</v>
      </c>
      <c r="C40" s="780" t="e">
        <f ca="1">ROUND(C39*(1-((1+F42)/(1+F40))^F41)/(F40-F42),0)</f>
        <v>#N/A</v>
      </c>
      <c r="D40" s="811" t="s">
        <v>1807</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2956</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1809</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2534</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1739</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1740</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2967</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7" t="s">
        <v>2958</v>
      </c>
      <c r="L53" s="3648"/>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2300</v>
      </c>
      <c r="C56" s="53" t="e">
        <f ca="1">C29</f>
        <v>#N/A</v>
      </c>
      <c r="D56" s="2598"/>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1748</v>
      </c>
      <c r="B57" s="795" t="s">
        <v>651</v>
      </c>
      <c r="C57" s="796" t="e">
        <f ca="1">ROUND(C58+C63+C64+C65,0)</f>
        <v>#N/A</v>
      </c>
      <c r="D57" s="26" t="s">
        <v>1750</v>
      </c>
      <c r="E57" s="2599"/>
      <c r="F57" s="56"/>
      <c r="I57" s="3102" t="s">
        <v>2356</v>
      </c>
      <c r="J57" s="3103" t="e">
        <f ca="1">IF(OR(M47="住宅",J51&lt;L48,J56="是"),"——",J51-L48)</f>
        <v>#N/A</v>
      </c>
      <c r="K57" s="3064" t="s">
        <v>2361</v>
      </c>
      <c r="L57" s="1888" t="e">
        <f ca="1">IF(L48&lt;J51,"——",IF(L55="比较法",L49,IF(L55="基准地价",L50,L51)))</f>
        <v>#N/A</v>
      </c>
      <c r="O57" s="2357" t="s">
        <v>2377</v>
      </c>
      <c r="P57" s="2358" t="s">
        <v>2407</v>
      </c>
      <c r="Q57" s="2359" t="e">
        <f ca="1">C40+J29</f>
        <v>#N/A</v>
      </c>
      <c r="R57" s="2358" t="s">
        <v>2378</v>
      </c>
    </row>
    <row r="58" spans="1:18" s="2039" customFormat="1" ht="28.5" customHeight="1" thickBot="1">
      <c r="A58" s="1629" t="s">
        <v>1824</v>
      </c>
      <c r="B58" s="781" t="s">
        <v>656</v>
      </c>
      <c r="C58" s="53" t="e">
        <f ca="1">ROUND(IF(项目基本情况!B11="自然人",C47*F58,C59+C60+C61),1)</f>
        <v>#N/A</v>
      </c>
      <c r="D58" s="2597" t="s">
        <v>657</v>
      </c>
      <c r="E58" s="2598"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2598" t="s">
        <v>1756</v>
      </c>
      <c r="E59" s="781" t="s">
        <v>1747</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1758</v>
      </c>
      <c r="C60" s="53" t="e">
        <f ca="1">IF(D60="按租金收入计税",ROUND(C47*F60,1),IF(D60="按房产原值计税",ROUND(C56*F60*0.7,1),INDIRECT("'数据-取费表'!Aj"&amp;$G$1)))</f>
        <v>#N/A</v>
      </c>
      <c r="D60" s="2598" t="str">
        <f>D33</f>
        <v>按租金收入计税</v>
      </c>
      <c r="E60" s="781" t="s">
        <v>1747</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2598" t="s">
        <v>1803</v>
      </c>
      <c r="E63" s="781" t="s">
        <v>1747</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2598" t="s">
        <v>680</v>
      </c>
      <c r="E64" s="781" t="s">
        <v>1747</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2598" t="s">
        <v>683</v>
      </c>
      <c r="E65" s="781" t="s">
        <v>1747</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2597" t="s">
        <v>700</v>
      </c>
      <c r="E66" s="2596"/>
      <c r="F66" s="817"/>
      <c r="K66" s="2066"/>
      <c r="O66" s="2357" t="s">
        <v>2377</v>
      </c>
      <c r="P66" s="2358" t="s">
        <v>2407</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1784</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12"/>
  <sheetViews>
    <sheetView topLeftCell="D1" zoomScale="80" zoomScaleNormal="80" workbookViewId="0">
      <selection activeCell="N22" sqref="N22"/>
    </sheetView>
  </sheetViews>
  <sheetFormatPr defaultColWidth="9" defaultRowHeight="13.2"/>
  <cols>
    <col min="1" max="1" width="9" style="2621"/>
    <col min="2" max="6" width="9" style="2621" customWidth="1"/>
    <col min="7" max="7" width="9" style="2637" customWidth="1"/>
    <col min="8" max="12" width="9" style="2621" customWidth="1"/>
    <col min="13" max="13" width="2.21875" style="2621" customWidth="1"/>
    <col min="14" max="14" width="9" style="2637" customWidth="1"/>
    <col min="15" max="17" width="9" style="2621" customWidth="1"/>
    <col min="18" max="18" width="2.33203125" style="2621" customWidth="1"/>
    <col min="19" max="19" width="7.109375" style="2637" customWidth="1"/>
    <col min="20" max="22" width="7.109375" style="2621" customWidth="1"/>
    <col min="23" max="23" width="24" style="2621" customWidth="1"/>
    <col min="24" max="25" width="9" style="2621"/>
    <col min="26" max="27" width="11.6640625" style="2621" customWidth="1"/>
    <col min="28" max="28" width="9" style="2621"/>
    <col min="29" max="29" width="2" style="2621" customWidth="1"/>
    <col min="30" max="16384" width="9" style="2621"/>
  </cols>
  <sheetData>
    <row r="1" spans="1:34" s="2612" customFormat="1">
      <c r="B1" s="3656" t="s">
        <v>2572</v>
      </c>
      <c r="C1" s="3656"/>
      <c r="D1" s="3656"/>
      <c r="E1" s="3656"/>
      <c r="F1" s="3656"/>
      <c r="G1" s="3655" t="s">
        <v>2573</v>
      </c>
      <c r="H1" s="3655"/>
      <c r="I1" s="3655"/>
      <c r="J1" s="3655"/>
      <c r="K1" s="3655"/>
      <c r="L1" s="3655"/>
      <c r="N1" s="3655" t="s">
        <v>2574</v>
      </c>
      <c r="O1" s="3655"/>
      <c r="P1" s="3655"/>
      <c r="Q1" s="3655"/>
      <c r="R1" s="2613"/>
      <c r="S1" s="3655" t="s">
        <v>2575</v>
      </c>
      <c r="T1" s="3655"/>
      <c r="U1" s="3655"/>
      <c r="V1" s="3655"/>
      <c r="X1" s="3654" t="s">
        <v>2635</v>
      </c>
      <c r="Y1" s="3655"/>
      <c r="Z1" s="3655"/>
      <c r="AA1" s="3655"/>
      <c r="AB1" s="3655"/>
      <c r="AD1" s="3654" t="s">
        <v>2639</v>
      </c>
      <c r="AE1" s="3655"/>
      <c r="AF1" s="3655"/>
      <c r="AG1" s="3655"/>
      <c r="AH1" s="3655"/>
    </row>
    <row r="2" spans="1:34" s="2714" customFormat="1" ht="15" thickBot="1">
      <c r="B2" s="2722" t="s">
        <v>2576</v>
      </c>
      <c r="C2" s="2722" t="s">
        <v>2637</v>
      </c>
      <c r="D2" s="2715" t="s">
        <v>1644</v>
      </c>
      <c r="E2" s="2715" t="s">
        <v>1947</v>
      </c>
      <c r="F2" s="2722" t="s">
        <v>2638</v>
      </c>
      <c r="G2" s="2718"/>
      <c r="H2" s="2717"/>
      <c r="I2" s="2722" t="s">
        <v>2948</v>
      </c>
      <c r="J2" s="2715" t="s">
        <v>2950</v>
      </c>
      <c r="K2" s="2715" t="s">
        <v>2951</v>
      </c>
      <c r="L2" s="2722" t="s">
        <v>2952</v>
      </c>
      <c r="N2" s="2722" t="s">
        <v>2576</v>
      </c>
      <c r="O2" s="2715" t="s">
        <v>2949</v>
      </c>
      <c r="P2" s="2715" t="s">
        <v>1947</v>
      </c>
      <c r="Q2" s="2722" t="s">
        <v>2638</v>
      </c>
      <c r="R2" s="2716"/>
      <c r="S2" s="2722" t="s">
        <v>2576</v>
      </c>
      <c r="T2" s="2715" t="s">
        <v>2949</v>
      </c>
      <c r="U2" s="2715" t="s">
        <v>1947</v>
      </c>
      <c r="V2" s="2722" t="s">
        <v>2638</v>
      </c>
      <c r="X2" s="2722" t="s">
        <v>2576</v>
      </c>
      <c r="Y2" s="2722" t="s">
        <v>2637</v>
      </c>
      <c r="Z2" s="2715" t="s">
        <v>1644</v>
      </c>
      <c r="AA2" s="2715" t="s">
        <v>1947</v>
      </c>
      <c r="AB2" s="2722" t="s">
        <v>2638</v>
      </c>
      <c r="AD2" s="2722" t="s">
        <v>2576</v>
      </c>
      <c r="AE2" s="2722" t="s">
        <v>2637</v>
      </c>
      <c r="AF2" s="2715" t="s">
        <v>1644</v>
      </c>
      <c r="AG2" s="2715" t="s">
        <v>1947</v>
      </c>
      <c r="AH2" s="2722" t="s">
        <v>2638</v>
      </c>
    </row>
    <row r="3" spans="1:34" s="3069" customFormat="1" ht="14.4">
      <c r="A3" s="3081" t="s">
        <v>2961</v>
      </c>
      <c r="B3" s="3070"/>
      <c r="C3" s="3070"/>
      <c r="D3" s="3071"/>
      <c r="E3" s="3071"/>
      <c r="F3" s="3070"/>
      <c r="G3" s="3072"/>
      <c r="H3" s="3073"/>
      <c r="I3" s="3080">
        <f>ROUND(AVERAGE($I4:$I29),2)</f>
        <v>1.92</v>
      </c>
      <c r="J3" s="3080">
        <f>ROUND(AVERAGE($J4:$J29),2)</f>
        <v>1.34</v>
      </c>
      <c r="K3" s="3080">
        <f>ROUND(AVERAGE($K4:$K29),2)</f>
        <v>2.1</v>
      </c>
      <c r="L3" s="3080">
        <f>ROUND(AVERAGE($L4:$L29),2)</f>
        <v>1.35</v>
      </c>
      <c r="N3" s="3072"/>
      <c r="O3" s="3074"/>
      <c r="P3" s="3074"/>
      <c r="Q3" s="3074"/>
      <c r="R3" s="3074"/>
      <c r="S3" s="3072"/>
      <c r="T3" s="3074"/>
      <c r="U3" s="3074"/>
      <c r="V3" s="3074"/>
      <c r="W3" s="3077"/>
      <c r="X3" s="3075">
        <f>ROUND(SUMPRODUCT(PRODUCT(1+N3:N$28)),4)</f>
        <v>1.5586</v>
      </c>
      <c r="Y3" s="3075">
        <f>ROUND(SUMPRODUCT(PRODUCT(1+O3:O$28)),4)</f>
        <v>1.3633</v>
      </c>
      <c r="Z3" s="3075">
        <f t="shared" ref="Z3:Z26" si="0">Y3</f>
        <v>1.3633</v>
      </c>
      <c r="AA3" s="3075">
        <f>ROUND(SUMPRODUCT(PRODUCT(1+P3:P$28)),4)</f>
        <v>1.6221000000000001</v>
      </c>
      <c r="AB3" s="3075">
        <f>ROUND(SUMPRODUCT(PRODUCT(1+Q3:Q$28)),4)</f>
        <v>1.3777999999999999</v>
      </c>
      <c r="AD3" s="3076">
        <f>ROUND(AVERAGE(I3:I$29)/100,4)</f>
        <v>1.9199999999999998E-2</v>
      </c>
      <c r="AE3" s="3076">
        <f>ROUND(AVERAGE(J3:J$29)/100,4)</f>
        <v>1.34E-2</v>
      </c>
      <c r="AF3" s="3076">
        <f t="shared" ref="AF3:AF27" si="1">AE3</f>
        <v>1.34E-2</v>
      </c>
      <c r="AG3" s="3076">
        <f>ROUND(AVERAGE(K3:K$29)/100,4)</f>
        <v>2.1000000000000001E-2</v>
      </c>
      <c r="AH3" s="3076">
        <f>ROUND(AVERAGE(L3:L$29)/100,4)</f>
        <v>1.35E-2</v>
      </c>
    </row>
    <row r="4" spans="1:34" s="2707" customFormat="1" ht="14.4">
      <c r="B4" s="2708"/>
      <c r="C4" s="2708"/>
      <c r="D4" s="2709"/>
      <c r="E4" s="2709"/>
      <c r="F4" s="2708"/>
      <c r="G4" s="2713"/>
      <c r="H4" s="2710"/>
      <c r="I4" s="3065"/>
      <c r="J4" s="3065"/>
      <c r="K4" s="3065"/>
      <c r="L4" s="3065"/>
      <c r="N4" s="2713"/>
      <c r="O4" s="2711"/>
      <c r="P4" s="2711"/>
      <c r="Q4" s="2711"/>
      <c r="R4" s="2711"/>
      <c r="S4" s="2713"/>
      <c r="T4" s="2711"/>
      <c r="U4" s="2711"/>
      <c r="V4" s="2711"/>
      <c r="W4" s="3078"/>
      <c r="X4" s="2712"/>
      <c r="Y4" s="2712"/>
      <c r="Z4" s="2712"/>
      <c r="AA4" s="2712"/>
      <c r="AB4" s="2712"/>
      <c r="AD4" s="2632"/>
      <c r="AE4" s="2632"/>
      <c r="AF4" s="2632"/>
      <c r="AG4" s="2632"/>
      <c r="AH4" s="2632"/>
    </row>
    <row r="5" spans="1:34" s="3053" customFormat="1">
      <c r="A5" s="3051" t="s">
        <v>2990</v>
      </c>
      <c r="B5" s="2746">
        <f t="shared" ref="B5:C7" si="2">B6*(1+N5)</f>
        <v>479.34737379023579</v>
      </c>
      <c r="C5" s="2746">
        <f t="shared" si="2"/>
        <v>351.4265287986122</v>
      </c>
      <c r="D5" s="2746">
        <f t="shared" ref="D5:D12" si="3">C5</f>
        <v>351.4265287986122</v>
      </c>
      <c r="E5" s="2746">
        <f t="shared" ref="E5:E13" si="4">E6*(1+P5)</f>
        <v>685.98209703803116</v>
      </c>
      <c r="F5" s="2746">
        <f t="shared" ref="F5:F13" si="5">F6*(1+Q5)</f>
        <v>316.78315206651001</v>
      </c>
      <c r="G5" s="2713">
        <v>2020</v>
      </c>
      <c r="H5" s="3052">
        <v>1</v>
      </c>
      <c r="I5" s="3066">
        <v>0</v>
      </c>
      <c r="J5" s="3066">
        <v>0</v>
      </c>
      <c r="K5" s="3066">
        <v>0</v>
      </c>
      <c r="L5" s="3066">
        <v>0</v>
      </c>
      <c r="N5" s="2720">
        <f t="shared" ref="N5:Q12" si="6">I5/100</f>
        <v>0</v>
      </c>
      <c r="O5" s="2720">
        <f t="shared" si="6"/>
        <v>0</v>
      </c>
      <c r="P5" s="2720">
        <f t="shared" si="6"/>
        <v>0</v>
      </c>
      <c r="Q5" s="2720">
        <f t="shared" si="6"/>
        <v>0</v>
      </c>
      <c r="R5" s="3054"/>
      <c r="S5" s="3055"/>
      <c r="T5" s="3054"/>
      <c r="U5" s="3054"/>
      <c r="V5" s="3054"/>
      <c r="W5" s="3079" t="s">
        <v>2962</v>
      </c>
      <c r="X5" s="3056">
        <f>ROUND(IF(项目基本情况!B8="出让",SUMPRODUCT(PRODUCT(1+N5:N$29)),SUMPRODUCT(PRODUCT(1+N5:N$28))),4)</f>
        <v>1.5586</v>
      </c>
      <c r="Y5" s="3056">
        <f>ROUND(IF(项目基本情况!B8="出让",SUMPRODUCT(PRODUCT(1+O5:O$29)),SUMPRODUCT(PRODUCT(1+O5:O$28))),4)</f>
        <v>1.3633</v>
      </c>
      <c r="Z5" s="3056">
        <f t="shared" ref="Z5:Z13" si="7">Y5</f>
        <v>1.3633</v>
      </c>
      <c r="AA5" s="3056">
        <f>ROUND(IF(项目基本情况!B8="出让",SUMPRODUCT(PRODUCT(1+P5:P$29)),SUMPRODUCT(PRODUCT(1+P5:P$28))),4)</f>
        <v>1.6221000000000001</v>
      </c>
      <c r="AB5" s="3056">
        <f>ROUND(IF(项目基本情况!B8="出让",SUMPRODUCT(PRODUCT(1+Q5:Q$29)),SUMPRODUCT(PRODUCT(1+Q5:Q$28))),4)</f>
        <v>1.3777999999999999</v>
      </c>
      <c r="AD5" s="3057">
        <f>ROUND(AVERAGE(I5:I$29)/100,4)</f>
        <v>1.9199999999999998E-2</v>
      </c>
      <c r="AE5" s="3057">
        <f>ROUND(AVERAGE(J5:J$29)/100,4)</f>
        <v>1.34E-2</v>
      </c>
      <c r="AF5" s="3057">
        <f t="shared" ref="AF5:AF13" si="8">AE5</f>
        <v>1.34E-2</v>
      </c>
      <c r="AG5" s="3057">
        <f>ROUND(AVERAGE(K5:K$29)/100,4)</f>
        <v>2.1000000000000001E-2</v>
      </c>
      <c r="AH5" s="3057">
        <f>ROUND(AVERAGE(L5:L$29)/100,4)</f>
        <v>1.35E-2</v>
      </c>
    </row>
    <row r="6" spans="1:34" s="2719" customFormat="1">
      <c r="A6" s="2614" t="s">
        <v>2986</v>
      </c>
      <c r="B6" s="2627">
        <f t="shared" si="2"/>
        <v>479.34737379023579</v>
      </c>
      <c r="C6" s="2627">
        <f t="shared" si="2"/>
        <v>351.4265287986122</v>
      </c>
      <c r="D6" s="2627">
        <f t="shared" si="3"/>
        <v>351.4265287986122</v>
      </c>
      <c r="E6" s="2627">
        <f t="shared" si="4"/>
        <v>685.98209703803116</v>
      </c>
      <c r="F6" s="2627">
        <f t="shared" si="5"/>
        <v>316.78315206651001</v>
      </c>
      <c r="G6" s="2713">
        <v>2019</v>
      </c>
      <c r="H6" s="2617">
        <v>4</v>
      </c>
      <c r="I6" s="2617">
        <v>0.45</v>
      </c>
      <c r="J6" s="2617">
        <v>-0.12</v>
      </c>
      <c r="K6" s="2617">
        <v>0.54</v>
      </c>
      <c r="L6" s="2628">
        <v>0.48</v>
      </c>
      <c r="M6" s="2621"/>
      <c r="N6" s="2622">
        <f t="shared" si="6"/>
        <v>4.5000000000000005E-3</v>
      </c>
      <c r="O6" s="2623">
        <f t="shared" si="6"/>
        <v>-1.1999999999999999E-3</v>
      </c>
      <c r="P6" s="2623">
        <f t="shared" si="6"/>
        <v>5.4000000000000003E-3</v>
      </c>
      <c r="Q6" s="2623">
        <f t="shared" si="6"/>
        <v>4.7999999999999996E-3</v>
      </c>
      <c r="R6" s="2624"/>
      <c r="S6" s="2630"/>
      <c r="T6" s="2631"/>
      <c r="U6" s="2631"/>
      <c r="V6" s="2631"/>
      <c r="W6" s="2621"/>
      <c r="X6" s="2712">
        <f>ROUND(IF(项目基本情况!B8="出让",SUMPRODUCT(PRODUCT(1+N6:N$29)),SUMPRODUCT(PRODUCT(1+N6:N$28))),4)</f>
        <v>1.5586</v>
      </c>
      <c r="Y6" s="2712">
        <f>ROUND(IF(项目基本情况!B8="出让",SUMPRODUCT(PRODUCT(1+O6:O$29)),SUMPRODUCT(PRODUCT(1+O6:O$28))),4)</f>
        <v>1.3633</v>
      </c>
      <c r="Z6" s="2712">
        <f t="shared" si="7"/>
        <v>1.3633</v>
      </c>
      <c r="AA6" s="2712">
        <f>ROUND(IF(项目基本情况!B8="出让",SUMPRODUCT(PRODUCT(1+P6:P$29)),SUMPRODUCT(PRODUCT(1+P6:P$28))),4)</f>
        <v>1.6221000000000001</v>
      </c>
      <c r="AB6" s="2712">
        <f>ROUND(IF(项目基本情况!B8="出让",SUMPRODUCT(PRODUCT(1+Q6:Q$29)),SUMPRODUCT(PRODUCT(1+Q6:Q$28))),4)</f>
        <v>1.3777999999999999</v>
      </c>
      <c r="AC6" s="2621"/>
      <c r="AD6" s="2632">
        <f>ROUND(AVERAGE(I6:I$29)/100,4)</f>
        <v>0.02</v>
      </c>
      <c r="AE6" s="2632">
        <f>ROUND(AVERAGE(J6:J$29)/100,4)</f>
        <v>1.4E-2</v>
      </c>
      <c r="AF6" s="2632">
        <f t="shared" si="8"/>
        <v>1.4E-2</v>
      </c>
      <c r="AG6" s="2632">
        <f>ROUND(AVERAGE(K6:K$29)/100,4)</f>
        <v>2.1899999999999999E-2</v>
      </c>
      <c r="AH6" s="2632">
        <f>ROUND(AVERAGE(L6:L$29)/100,4)</f>
        <v>1.4E-2</v>
      </c>
    </row>
    <row r="7" spans="1:34" s="2719" customFormat="1" ht="13.8" thickBot="1">
      <c r="A7" s="2614" t="s">
        <v>2985</v>
      </c>
      <c r="B7" s="2627">
        <f t="shared" si="2"/>
        <v>477.19997390765138</v>
      </c>
      <c r="C7" s="2627">
        <f t="shared" si="2"/>
        <v>351.84874729536665</v>
      </c>
      <c r="D7" s="2627">
        <f t="shared" si="3"/>
        <v>351.84874729536665</v>
      </c>
      <c r="E7" s="2627">
        <f t="shared" si="4"/>
        <v>682.29768951465201</v>
      </c>
      <c r="F7" s="2627">
        <f t="shared" si="5"/>
        <v>315.26985675409043</v>
      </c>
      <c r="G7" s="2713">
        <v>2019</v>
      </c>
      <c r="H7" s="2617">
        <v>3</v>
      </c>
      <c r="I7" s="2617">
        <v>0.61</v>
      </c>
      <c r="J7" s="2617">
        <v>0.67</v>
      </c>
      <c r="K7" s="2617">
        <v>0.6</v>
      </c>
      <c r="L7" s="2628">
        <v>1.03</v>
      </c>
      <c r="M7" s="2621"/>
      <c r="N7" s="2622">
        <f t="shared" si="6"/>
        <v>6.0999999999999995E-3</v>
      </c>
      <c r="O7" s="2623">
        <f t="shared" si="6"/>
        <v>6.7000000000000002E-3</v>
      </c>
      <c r="P7" s="2623">
        <f t="shared" si="6"/>
        <v>6.0000000000000001E-3</v>
      </c>
      <c r="Q7" s="2623">
        <f t="shared" si="6"/>
        <v>1.03E-2</v>
      </c>
      <c r="R7" s="2624"/>
      <c r="S7" s="2630"/>
      <c r="T7" s="2631"/>
      <c r="U7" s="2631"/>
      <c r="V7" s="2631"/>
      <c r="W7" s="2621"/>
      <c r="X7" s="2712">
        <f>ROUND(IF(项目基本情况!B8="出让",SUMPRODUCT(PRODUCT(1+N7:N$29)),SUMPRODUCT(PRODUCT(1+N7:N$28))),4)</f>
        <v>1.5516000000000001</v>
      </c>
      <c r="Y7" s="2712">
        <f>ROUND(IF(项目基本情况!B8="出让",SUMPRODUCT(PRODUCT(1+O7:O$29)),SUMPRODUCT(PRODUCT(1+O7:O$28))),4)</f>
        <v>1.3649</v>
      </c>
      <c r="Z7" s="2712">
        <f t="shared" si="7"/>
        <v>1.3649</v>
      </c>
      <c r="AA7" s="2712">
        <f>ROUND(IF(项目基本情况!B8="出让",SUMPRODUCT(PRODUCT(1+P7:P$29)),SUMPRODUCT(PRODUCT(1+P7:P$28))),4)</f>
        <v>1.6133999999999999</v>
      </c>
      <c r="AB7" s="2712">
        <f>ROUND(IF(项目基本情况!B8="出让",SUMPRODUCT(PRODUCT(1+Q7:Q$29)),SUMPRODUCT(PRODUCT(1+Q7:Q$28))),4)</f>
        <v>1.3713</v>
      </c>
      <c r="AC7" s="2621"/>
      <c r="AD7" s="2632">
        <f>ROUND(AVERAGE(I7:I$29)/100,4)</f>
        <v>2.07E-2</v>
      </c>
      <c r="AE7" s="2632">
        <f>ROUND(AVERAGE(J7:J$29)/100,4)</f>
        <v>1.47E-2</v>
      </c>
      <c r="AF7" s="2632">
        <f t="shared" si="8"/>
        <v>1.47E-2</v>
      </c>
      <c r="AG7" s="2632">
        <f>ROUND(AVERAGE(K7:K$29)/100,4)</f>
        <v>2.2599999999999999E-2</v>
      </c>
      <c r="AH7" s="2632">
        <f>ROUND(AVERAGE(L7:L$29)/100,4)</f>
        <v>1.44E-2</v>
      </c>
    </row>
    <row r="8" spans="1:34" s="2719" customFormat="1">
      <c r="A8" s="2614" t="s">
        <v>2982</v>
      </c>
      <c r="B8" s="2627">
        <f t="shared" ref="B8:B13" si="9">B9*(1+N8)</f>
        <v>474.30670301923408</v>
      </c>
      <c r="C8" s="2627">
        <f t="shared" ref="C8:C13" si="10">C9*(1+O8)</f>
        <v>349.50705005996491</v>
      </c>
      <c r="D8" s="2627">
        <f t="shared" si="3"/>
        <v>349.50705005996491</v>
      </c>
      <c r="E8" s="2627">
        <f t="shared" si="4"/>
        <v>678.22831959706957</v>
      </c>
      <c r="F8" s="2627">
        <f t="shared" si="5"/>
        <v>312.0556832169558</v>
      </c>
      <c r="G8" s="2713">
        <v>2019</v>
      </c>
      <c r="H8" s="2615">
        <v>2</v>
      </c>
      <c r="I8" s="2615">
        <v>1.53</v>
      </c>
      <c r="J8" s="2615">
        <v>1.01</v>
      </c>
      <c r="K8" s="2615">
        <v>1.62</v>
      </c>
      <c r="L8" s="2616">
        <v>1.25</v>
      </c>
      <c r="M8" s="2621"/>
      <c r="N8" s="2622">
        <f t="shared" si="6"/>
        <v>1.5300000000000001E-2</v>
      </c>
      <c r="O8" s="2623">
        <f t="shared" si="6"/>
        <v>1.01E-2</v>
      </c>
      <c r="P8" s="2623">
        <f t="shared" si="6"/>
        <v>1.6200000000000003E-2</v>
      </c>
      <c r="Q8" s="2623">
        <f t="shared" si="6"/>
        <v>1.2500000000000001E-2</v>
      </c>
      <c r="R8" s="2624"/>
      <c r="S8" s="2630"/>
      <c r="T8" s="2631"/>
      <c r="U8" s="2631"/>
      <c r="V8" s="2631"/>
      <c r="W8" s="2621"/>
      <c r="X8" s="2712">
        <f>ROUND(IF(项目基本情况!B8="出让",SUMPRODUCT(PRODUCT(1+N8:N$29)),SUMPRODUCT(PRODUCT(1+N8:N$28))),4)</f>
        <v>1.5422</v>
      </c>
      <c r="Y8" s="2712">
        <f>ROUND(IF(项目基本情况!B8="出让",SUMPRODUCT(PRODUCT(1+O8:O$29)),SUMPRODUCT(PRODUCT(1+O8:O$28))),4)</f>
        <v>1.3557999999999999</v>
      </c>
      <c r="Z8" s="2712">
        <f t="shared" si="7"/>
        <v>1.3557999999999999</v>
      </c>
      <c r="AA8" s="2712">
        <f>ROUND(IF(项目基本情况!B8="出让",SUMPRODUCT(PRODUCT(1+P8:P$29)),SUMPRODUCT(PRODUCT(1+P8:P$28))),4)</f>
        <v>1.6036999999999999</v>
      </c>
      <c r="AB8" s="2712">
        <f>ROUND(IF(项目基本情况!B8="出让",SUMPRODUCT(PRODUCT(1+Q8:Q$29)),SUMPRODUCT(PRODUCT(1+Q8:Q$28))),4)</f>
        <v>1.3573</v>
      </c>
      <c r="AC8" s="2621"/>
      <c r="AD8" s="2632">
        <f>ROUND(AVERAGE(I8:I$29)/100,4)</f>
        <v>2.1299999999999999E-2</v>
      </c>
      <c r="AE8" s="2632">
        <f>ROUND(AVERAGE(J8:J$29)/100,4)</f>
        <v>1.4999999999999999E-2</v>
      </c>
      <c r="AF8" s="2632">
        <f t="shared" si="8"/>
        <v>1.4999999999999999E-2</v>
      </c>
      <c r="AG8" s="2632">
        <f>ROUND(AVERAGE(K8:K$29)/100,4)</f>
        <v>2.3300000000000001E-2</v>
      </c>
      <c r="AH8" s="2632">
        <f>ROUND(AVERAGE(L8:L$29)/100,4)</f>
        <v>1.46E-2</v>
      </c>
    </row>
    <row r="9" spans="1:34" s="2719" customFormat="1" ht="13.8" thickBot="1">
      <c r="A9" s="2614" t="s">
        <v>2981</v>
      </c>
      <c r="B9" s="2627">
        <f t="shared" si="9"/>
        <v>467.15916775261894</v>
      </c>
      <c r="C9" s="2627">
        <f t="shared" si="10"/>
        <v>346.01232557169084</v>
      </c>
      <c r="D9" s="2627">
        <f t="shared" si="3"/>
        <v>346.01232557169084</v>
      </c>
      <c r="E9" s="2627">
        <f t="shared" si="4"/>
        <v>667.41617752122568</v>
      </c>
      <c r="F9" s="2627">
        <f t="shared" si="5"/>
        <v>308.20314391798104</v>
      </c>
      <c r="G9" s="2713">
        <v>2019</v>
      </c>
      <c r="H9" s="2617">
        <v>1</v>
      </c>
      <c r="I9" s="2617">
        <v>0.6</v>
      </c>
      <c r="J9" s="2617">
        <v>0.37</v>
      </c>
      <c r="K9" s="2617">
        <v>0.63</v>
      </c>
      <c r="L9" s="2628">
        <v>1.1299999999999999</v>
      </c>
      <c r="M9" s="2621"/>
      <c r="N9" s="2622">
        <f t="shared" si="6"/>
        <v>6.0000000000000001E-3</v>
      </c>
      <c r="O9" s="2623">
        <f t="shared" si="6"/>
        <v>3.7000000000000002E-3</v>
      </c>
      <c r="P9" s="2623">
        <f t="shared" si="6"/>
        <v>6.3E-3</v>
      </c>
      <c r="Q9" s="2623">
        <f t="shared" si="6"/>
        <v>1.1299999999999999E-2</v>
      </c>
      <c r="R9" s="2624"/>
      <c r="S9" s="2630">
        <f>B9/B10-1</f>
        <v>6.0000000000000053E-3</v>
      </c>
      <c r="T9" s="2631">
        <f>C9/C10-1</f>
        <v>3.7000000000000366E-3</v>
      </c>
      <c r="U9" s="2631">
        <f>E9/E10-1</f>
        <v>6.2999999999999723E-3</v>
      </c>
      <c r="V9" s="2631">
        <f>F9/F10-1</f>
        <v>1.1300000000000088E-2</v>
      </c>
      <c r="W9" s="2621"/>
      <c r="X9" s="2712">
        <f>ROUND(IF(项目基本情况!B8="出让",SUMPRODUCT(PRODUCT(1+N9:N$29)),SUMPRODUCT(PRODUCT(1+N9:N$28))),4)</f>
        <v>1.5189999999999999</v>
      </c>
      <c r="Y9" s="2712">
        <f>ROUND(IF(项目基本情况!B8="出让",SUMPRODUCT(PRODUCT(1+O9:O$29)),SUMPRODUCT(PRODUCT(1+O9:O$28))),4)</f>
        <v>1.3423</v>
      </c>
      <c r="Z9" s="2712">
        <f t="shared" si="7"/>
        <v>1.3423</v>
      </c>
      <c r="AA9" s="2712">
        <f>ROUND(IF(项目基本情况!B8="出让",SUMPRODUCT(PRODUCT(1+P9:P$29)),SUMPRODUCT(PRODUCT(1+P9:P$28))),4)</f>
        <v>1.5782</v>
      </c>
      <c r="AB9" s="2712">
        <f>ROUND(IF(项目基本情况!B8="出让",SUMPRODUCT(PRODUCT(1+Q9:Q$29)),SUMPRODUCT(PRODUCT(1+Q9:Q$28))),4)</f>
        <v>1.3405</v>
      </c>
      <c r="AC9" s="2621"/>
      <c r="AD9" s="2632">
        <f>ROUND(AVERAGE(I9:I$29)/100,4)</f>
        <v>2.1600000000000001E-2</v>
      </c>
      <c r="AE9" s="2632">
        <f>ROUND(AVERAGE(J9:J$29)/100,4)</f>
        <v>1.5299999999999999E-2</v>
      </c>
      <c r="AF9" s="2632">
        <f t="shared" si="8"/>
        <v>1.5299999999999999E-2</v>
      </c>
      <c r="AG9" s="2632">
        <f>ROUND(AVERAGE(K9:K$29)/100,4)</f>
        <v>2.3699999999999999E-2</v>
      </c>
      <c r="AH9" s="2632">
        <f>ROUND(AVERAGE(L9:L$29)/100,4)</f>
        <v>1.47E-2</v>
      </c>
    </row>
    <row r="10" spans="1:34" s="2719" customFormat="1">
      <c r="A10" s="2614" t="s">
        <v>2978</v>
      </c>
      <c r="B10" s="3165">
        <f t="shared" si="9"/>
        <v>464.37293017158942</v>
      </c>
      <c r="C10" s="3165">
        <f t="shared" si="10"/>
        <v>344.73679941385956</v>
      </c>
      <c r="D10" s="3165">
        <f t="shared" si="3"/>
        <v>344.73679941385956</v>
      </c>
      <c r="E10" s="3165">
        <f t="shared" si="4"/>
        <v>663.2377795103107</v>
      </c>
      <c r="F10" s="3166">
        <f t="shared" si="5"/>
        <v>304.75936311478398</v>
      </c>
      <c r="G10" s="3650">
        <v>2018</v>
      </c>
      <c r="H10" s="2615">
        <v>4</v>
      </c>
      <c r="I10" s="2615">
        <v>0.96</v>
      </c>
      <c r="J10" s="2615">
        <v>1.03</v>
      </c>
      <c r="K10" s="2615">
        <v>0.92</v>
      </c>
      <c r="L10" s="2616">
        <v>1.29</v>
      </c>
      <c r="M10" s="2621"/>
      <c r="N10" s="2622">
        <f t="shared" si="6"/>
        <v>9.5999999999999992E-3</v>
      </c>
      <c r="O10" s="2623">
        <f t="shared" si="6"/>
        <v>1.03E-2</v>
      </c>
      <c r="P10" s="2623">
        <f t="shared" si="6"/>
        <v>9.1999999999999998E-3</v>
      </c>
      <c r="Q10" s="2623">
        <f t="shared" si="6"/>
        <v>1.29E-2</v>
      </c>
      <c r="R10" s="2624"/>
      <c r="S10" s="2625"/>
      <c r="T10" s="2626"/>
      <c r="U10" s="2626"/>
      <c r="V10" s="2626"/>
      <c r="W10" s="2621"/>
      <c r="X10" s="2712">
        <f>ROUND(SUMPRODUCT(PRODUCT(1+N10:N$28)),4)</f>
        <v>1.5099</v>
      </c>
      <c r="Y10" s="2712">
        <f>ROUND(SUMPRODUCT(PRODUCT(1+O10:O$28)),4)</f>
        <v>1.3372999999999999</v>
      </c>
      <c r="Z10" s="2712">
        <f t="shared" si="7"/>
        <v>1.3372999999999999</v>
      </c>
      <c r="AA10" s="2712">
        <f>ROUND(SUMPRODUCT(PRODUCT(1+P10:P$28)),4)</f>
        <v>1.5683</v>
      </c>
      <c r="AB10" s="2712">
        <f>ROUND(SUMPRODUCT(PRODUCT(1+Q10:Q$28)),4)</f>
        <v>1.3255999999999999</v>
      </c>
      <c r="AC10" s="2621"/>
      <c r="AD10" s="2632">
        <f>ROUND(AVERAGE(I10:I$29)/100,4)</f>
        <v>2.24E-2</v>
      </c>
      <c r="AE10" s="2632">
        <f>ROUND(AVERAGE(J10:J$29)/100,4)</f>
        <v>1.5800000000000002E-2</v>
      </c>
      <c r="AF10" s="2632">
        <f t="shared" si="8"/>
        <v>1.5800000000000002E-2</v>
      </c>
      <c r="AG10" s="2632">
        <f>ROUND(AVERAGE(K10:K$29)/100,4)</f>
        <v>2.4500000000000001E-2</v>
      </c>
      <c r="AH10" s="2632">
        <f>ROUND(AVERAGE(L10:L$29)/100,4)</f>
        <v>1.49E-2</v>
      </c>
    </row>
    <row r="11" spans="1:34" s="2719" customFormat="1" ht="14.4" customHeight="1">
      <c r="A11" s="2614" t="s">
        <v>2971</v>
      </c>
      <c r="B11" s="2627">
        <f t="shared" si="9"/>
        <v>459.95733971036987</v>
      </c>
      <c r="C11" s="2627">
        <f t="shared" si="10"/>
        <v>341.22221064422405</v>
      </c>
      <c r="D11" s="2627">
        <f t="shared" si="3"/>
        <v>341.22221064422405</v>
      </c>
      <c r="E11" s="2627">
        <f t="shared" si="4"/>
        <v>657.19161663724799</v>
      </c>
      <c r="F11" s="2627">
        <f t="shared" si="5"/>
        <v>300.87803644464805</v>
      </c>
      <c r="G11" s="3650"/>
      <c r="H11" s="2617">
        <v>3</v>
      </c>
      <c r="I11" s="2617">
        <v>1.51</v>
      </c>
      <c r="J11" s="2617">
        <v>1.41</v>
      </c>
      <c r="K11" s="2617">
        <v>1.52</v>
      </c>
      <c r="L11" s="2628">
        <v>1.74</v>
      </c>
      <c r="M11" s="2621"/>
      <c r="N11" s="2622">
        <f t="shared" si="6"/>
        <v>1.5100000000000001E-2</v>
      </c>
      <c r="O11" s="2623">
        <f t="shared" si="6"/>
        <v>1.41E-2</v>
      </c>
      <c r="P11" s="2623">
        <f t="shared" si="6"/>
        <v>1.52E-2</v>
      </c>
      <c r="Q11" s="2623">
        <f t="shared" si="6"/>
        <v>1.7399999999999999E-2</v>
      </c>
      <c r="R11" s="2624"/>
      <c r="S11" s="2622"/>
      <c r="T11" s="2623"/>
      <c r="U11" s="2623"/>
      <c r="V11" s="2623"/>
      <c r="W11" s="2621"/>
      <c r="X11" s="2712">
        <f>ROUND(SUMPRODUCT(PRODUCT(1+N11:N$28)),4)</f>
        <v>1.4956</v>
      </c>
      <c r="Y11" s="2712">
        <f>ROUND(SUMPRODUCT(PRODUCT(1+O11:O$28)),4)</f>
        <v>1.3237000000000001</v>
      </c>
      <c r="Z11" s="2712">
        <f t="shared" si="7"/>
        <v>1.3237000000000001</v>
      </c>
      <c r="AA11" s="2712">
        <f>ROUND(SUMPRODUCT(PRODUCT(1+P11:P$28)),4)</f>
        <v>1.554</v>
      </c>
      <c r="AB11" s="2712">
        <f>ROUND(SUMPRODUCT(PRODUCT(1+Q11:Q$28)),4)</f>
        <v>1.3087</v>
      </c>
      <c r="AC11" s="2621"/>
      <c r="AD11" s="2632">
        <f>ROUND(AVERAGE(I11:I$29)/100,4)</f>
        <v>2.3099999999999999E-2</v>
      </c>
      <c r="AE11" s="2632">
        <f>ROUND(AVERAGE(J11:J$29)/100,4)</f>
        <v>1.61E-2</v>
      </c>
      <c r="AF11" s="2632">
        <f t="shared" si="8"/>
        <v>1.61E-2</v>
      </c>
      <c r="AG11" s="2632">
        <f>ROUND(AVERAGE(K11:K$29)/100,4)</f>
        <v>2.53E-2</v>
      </c>
      <c r="AH11" s="2632">
        <f>ROUND(AVERAGE(L11:L$29)/100,4)</f>
        <v>1.4999999999999999E-2</v>
      </c>
    </row>
    <row r="12" spans="1:34" s="2719" customFormat="1" ht="14.4" customHeight="1">
      <c r="A12" s="2614" t="s">
        <v>2972</v>
      </c>
      <c r="B12" s="2627">
        <f t="shared" si="9"/>
        <v>453.11529869999993</v>
      </c>
      <c r="C12" s="2627">
        <f t="shared" si="10"/>
        <v>336.47787264000004</v>
      </c>
      <c r="D12" s="2627">
        <f t="shared" si="3"/>
        <v>336.47787264000004</v>
      </c>
      <c r="E12" s="2627">
        <f t="shared" si="4"/>
        <v>647.35186823999993</v>
      </c>
      <c r="F12" s="2627">
        <f t="shared" si="5"/>
        <v>295.73229452000004</v>
      </c>
      <c r="G12" s="3650"/>
      <c r="H12" s="2618">
        <v>2</v>
      </c>
      <c r="I12" s="2618">
        <v>1.49</v>
      </c>
      <c r="J12" s="2618">
        <v>0.96</v>
      </c>
      <c r="K12" s="2618">
        <v>1.58</v>
      </c>
      <c r="L12" s="2629">
        <v>2.44</v>
      </c>
      <c r="M12" s="2621"/>
      <c r="N12" s="2622">
        <f t="shared" si="6"/>
        <v>1.49E-2</v>
      </c>
      <c r="O12" s="2623">
        <f t="shared" si="6"/>
        <v>9.5999999999999992E-3</v>
      </c>
      <c r="P12" s="2623">
        <f t="shared" si="6"/>
        <v>1.5800000000000002E-2</v>
      </c>
      <c r="Q12" s="2623">
        <f t="shared" si="6"/>
        <v>2.4399999999999998E-2</v>
      </c>
      <c r="R12" s="2624"/>
      <c r="S12" s="2622"/>
      <c r="T12" s="2623"/>
      <c r="U12" s="2623"/>
      <c r="V12" s="2623"/>
      <c r="W12" s="2621"/>
      <c r="X12" s="2712">
        <f>ROUND(SUMPRODUCT(PRODUCT(1+N12:N$28)),4)</f>
        <v>1.4733000000000001</v>
      </c>
      <c r="Y12" s="2712">
        <f>ROUND(SUMPRODUCT(PRODUCT(1+O12:O$28)),4)</f>
        <v>1.3052999999999999</v>
      </c>
      <c r="Z12" s="2712">
        <f t="shared" si="7"/>
        <v>1.3052999999999999</v>
      </c>
      <c r="AA12" s="2712">
        <f>ROUND(SUMPRODUCT(PRODUCT(1+P12:P$28)),4)</f>
        <v>1.5306999999999999</v>
      </c>
      <c r="AB12" s="2712">
        <f>ROUND(SUMPRODUCT(PRODUCT(1+Q12:Q$28)),4)</f>
        <v>1.2863</v>
      </c>
      <c r="AC12" s="2621"/>
      <c r="AD12" s="2632">
        <f>ROUND(AVERAGE(I12:I$29)/100,4)</f>
        <v>2.35E-2</v>
      </c>
      <c r="AE12" s="2632">
        <f>ROUND(AVERAGE(J12:J$29)/100,4)</f>
        <v>1.6199999999999999E-2</v>
      </c>
      <c r="AF12" s="2632">
        <f t="shared" si="8"/>
        <v>1.6199999999999999E-2</v>
      </c>
      <c r="AG12" s="2632">
        <f>ROUND(AVERAGE(K12:K$29)/100,4)</f>
        <v>2.5899999999999999E-2</v>
      </c>
      <c r="AH12" s="2632">
        <f>ROUND(AVERAGE(L12:L$29)/100,4)</f>
        <v>1.49E-2</v>
      </c>
    </row>
    <row r="13" spans="1:34" s="2719" customFormat="1" ht="15" customHeight="1" thickBot="1">
      <c r="A13" s="2614" t="s">
        <v>2968</v>
      </c>
      <c r="B13" s="2627">
        <f t="shared" si="9"/>
        <v>446.46299999999997</v>
      </c>
      <c r="C13" s="2627">
        <f t="shared" si="10"/>
        <v>333.27840000000003</v>
      </c>
      <c r="D13" s="2627">
        <f t="shared" ref="D13:D18" si="11">C13</f>
        <v>333.27840000000003</v>
      </c>
      <c r="E13" s="2627">
        <f t="shared" si="4"/>
        <v>637.28279999999995</v>
      </c>
      <c r="F13" s="2627">
        <f t="shared" si="5"/>
        <v>288.68830000000003</v>
      </c>
      <c r="G13" s="3651"/>
      <c r="H13" s="2617">
        <v>1</v>
      </c>
      <c r="I13" s="2617">
        <v>1.7</v>
      </c>
      <c r="J13" s="2617">
        <v>1.92</v>
      </c>
      <c r="K13" s="2617">
        <v>1.64</v>
      </c>
      <c r="L13" s="2628">
        <v>2.0099999999999998</v>
      </c>
      <c r="M13" s="2621"/>
      <c r="N13" s="2622">
        <f t="shared" ref="N13:N18" si="12">I13/100</f>
        <v>1.7000000000000001E-2</v>
      </c>
      <c r="O13" s="2623">
        <f t="shared" ref="O13:Q17" si="13">J13/100</f>
        <v>1.9199999999999998E-2</v>
      </c>
      <c r="P13" s="2623">
        <f t="shared" si="13"/>
        <v>1.6399999999999998E-2</v>
      </c>
      <c r="Q13" s="2623">
        <f t="shared" si="13"/>
        <v>2.0099999999999996E-2</v>
      </c>
      <c r="R13" s="2624"/>
      <c r="S13" s="2630">
        <f>B13/B14-1</f>
        <v>1.6999999999999904E-2</v>
      </c>
      <c r="T13" s="2631">
        <f>C13/C14-1</f>
        <v>1.9200000000000106E-2</v>
      </c>
      <c r="U13" s="2631">
        <f>E13/E14-1</f>
        <v>1.639999999999997E-2</v>
      </c>
      <c r="V13" s="2631">
        <f>F13/F14-1</f>
        <v>2.0100000000000007E-2</v>
      </c>
      <c r="W13" s="2621"/>
      <c r="X13" s="2712">
        <f>ROUND(SUMPRODUCT(PRODUCT(1+N13:N$28)),4)</f>
        <v>1.4517</v>
      </c>
      <c r="Y13" s="2712">
        <f>ROUND(SUMPRODUCT(PRODUCT(1+O13:O$28)),4)</f>
        <v>1.2928999999999999</v>
      </c>
      <c r="Z13" s="2712">
        <f t="shared" si="7"/>
        <v>1.2928999999999999</v>
      </c>
      <c r="AA13" s="2712">
        <f>ROUND(SUMPRODUCT(PRODUCT(1+P13:P$28)),4)</f>
        <v>1.5068999999999999</v>
      </c>
      <c r="AB13" s="2712">
        <f>ROUND(SUMPRODUCT(PRODUCT(1+Q13:Q$28)),4)</f>
        <v>1.2557</v>
      </c>
      <c r="AC13" s="2621"/>
      <c r="AD13" s="2632">
        <f>ROUND(AVERAGE(I13:I$29)/100,4)</f>
        <v>2.4E-2</v>
      </c>
      <c r="AE13" s="2632">
        <f>ROUND(AVERAGE(J13:J$29)/100,4)</f>
        <v>1.66E-2</v>
      </c>
      <c r="AF13" s="2632">
        <f t="shared" si="8"/>
        <v>1.66E-2</v>
      </c>
      <c r="AG13" s="2632">
        <f>ROUND(AVERAGE(K13:K$29)/100,4)</f>
        <v>2.6499999999999999E-2</v>
      </c>
      <c r="AH13" s="2632">
        <f>ROUND(AVERAGE(L13:L$29)/100,4)</f>
        <v>1.43E-2</v>
      </c>
    </row>
    <row r="14" spans="1:34">
      <c r="A14" s="2614" t="s">
        <v>2959</v>
      </c>
      <c r="B14" s="3083">
        <v>439</v>
      </c>
      <c r="C14" s="3083">
        <v>327</v>
      </c>
      <c r="D14" s="3083">
        <f t="shared" si="11"/>
        <v>327</v>
      </c>
      <c r="E14" s="3083">
        <v>627</v>
      </c>
      <c r="F14" s="3084">
        <v>283</v>
      </c>
      <c r="G14" s="3649">
        <v>2017</v>
      </c>
      <c r="H14" s="2615">
        <v>4</v>
      </c>
      <c r="I14" s="2615">
        <v>1.71</v>
      </c>
      <c r="J14" s="2615">
        <v>1.78</v>
      </c>
      <c r="K14" s="2615">
        <v>1.71</v>
      </c>
      <c r="L14" s="2616">
        <v>1.43</v>
      </c>
      <c r="N14" s="2635">
        <f t="shared" si="12"/>
        <v>1.7100000000000001E-2</v>
      </c>
      <c r="O14" s="2636">
        <f t="shared" si="13"/>
        <v>1.78E-2</v>
      </c>
      <c r="P14" s="2636">
        <f t="shared" si="13"/>
        <v>1.7100000000000001E-2</v>
      </c>
      <c r="Q14" s="2636">
        <f t="shared" si="13"/>
        <v>1.43E-2</v>
      </c>
      <c r="R14" s="2624"/>
      <c r="S14" s="2625"/>
      <c r="T14" s="2626"/>
      <c r="U14" s="2626"/>
      <c r="V14" s="2626"/>
      <c r="X14" s="2712">
        <f>ROUND(SUMPRODUCT(PRODUCT(1+N14:N$28)),4)</f>
        <v>1.4274</v>
      </c>
      <c r="Y14" s="2712">
        <f>ROUND(SUMPRODUCT(PRODUCT(1+O14:O$28)),4)</f>
        <v>1.2685</v>
      </c>
      <c r="Z14" s="2712">
        <f t="shared" si="0"/>
        <v>1.2685</v>
      </c>
      <c r="AA14" s="2712">
        <f>ROUND(SUMPRODUCT(PRODUCT(1+P14:P$28)),4)</f>
        <v>1.4825999999999999</v>
      </c>
      <c r="AB14" s="2712">
        <f>ROUND(SUMPRODUCT(PRODUCT(1+Q14:Q$28)),4)</f>
        <v>1.2309000000000001</v>
      </c>
      <c r="AD14" s="2632">
        <f>ROUND(AVERAGE(I14:I$29)/100,4)</f>
        <v>2.4500000000000001E-2</v>
      </c>
      <c r="AE14" s="2632">
        <f>ROUND(AVERAGE(J14:J$29)/100,4)</f>
        <v>1.6500000000000001E-2</v>
      </c>
      <c r="AF14" s="2632">
        <f t="shared" si="1"/>
        <v>1.6500000000000001E-2</v>
      </c>
      <c r="AG14" s="2632">
        <f>ROUND(AVERAGE(K14:K$29)/100,4)</f>
        <v>2.7099999999999999E-2</v>
      </c>
      <c r="AH14" s="2632">
        <f>ROUND(AVERAGE(L14:L$29)/100,4)</f>
        <v>1.3899999999999999E-2</v>
      </c>
    </row>
    <row r="15" spans="1:34" s="2719" customFormat="1" ht="14.4" customHeight="1">
      <c r="A15" s="2614" t="s">
        <v>2963</v>
      </c>
      <c r="B15" s="2627">
        <f t="shared" ref="B15:C17" si="14">B16*(1+N15)</f>
        <v>431.80730811680002</v>
      </c>
      <c r="C15" s="2627">
        <f t="shared" si="14"/>
        <v>320.57880516480003</v>
      </c>
      <c r="D15" s="2627">
        <f t="shared" si="11"/>
        <v>320.57880516480003</v>
      </c>
      <c r="E15" s="2627">
        <f t="shared" ref="E15:F17" si="15">E16*(1+P15)</f>
        <v>615.96110553196797</v>
      </c>
      <c r="F15" s="2627">
        <f t="shared" si="15"/>
        <v>279.46777300108801</v>
      </c>
      <c r="G15" s="3650"/>
      <c r="H15" s="2617">
        <v>3</v>
      </c>
      <c r="I15" s="2617">
        <v>2.98</v>
      </c>
      <c r="J15" s="2617">
        <v>2.11</v>
      </c>
      <c r="K15" s="2617">
        <v>3.24</v>
      </c>
      <c r="L15" s="2628">
        <v>1.72</v>
      </c>
      <c r="M15" s="2621"/>
      <c r="N15" s="2622">
        <f t="shared" si="12"/>
        <v>2.98E-2</v>
      </c>
      <c r="O15" s="2640">
        <f t="shared" si="13"/>
        <v>2.1099999999999997E-2</v>
      </c>
      <c r="P15" s="2640">
        <f t="shared" si="13"/>
        <v>3.2400000000000005E-2</v>
      </c>
      <c r="Q15" s="2640">
        <f t="shared" si="13"/>
        <v>1.72E-2</v>
      </c>
      <c r="R15" s="2624"/>
      <c r="S15" s="2622"/>
      <c r="T15" s="2623"/>
      <c r="U15" s="2623"/>
      <c r="V15" s="2623"/>
      <c r="W15" s="2621"/>
      <c r="X15" s="2712">
        <f>ROUND(SUMPRODUCT(PRODUCT(1+N15:N$28)),4)</f>
        <v>1.4034</v>
      </c>
      <c r="Y15" s="2712">
        <f>ROUND(SUMPRODUCT(PRODUCT(1+O15:O$28)),4)</f>
        <v>1.2463</v>
      </c>
      <c r="Z15" s="2712">
        <f t="shared" si="0"/>
        <v>1.2463</v>
      </c>
      <c r="AA15" s="2712">
        <f>ROUND(SUMPRODUCT(PRODUCT(1+P15:P$28)),4)</f>
        <v>1.4577</v>
      </c>
      <c r="AB15" s="2712">
        <f>ROUND(SUMPRODUCT(PRODUCT(1+Q15:Q$28)),4)</f>
        <v>1.2136</v>
      </c>
      <c r="AC15" s="2621"/>
      <c r="AD15" s="2632">
        <f>ROUND(AVERAGE(I15:I$29)/100,4)</f>
        <v>2.4899999999999999E-2</v>
      </c>
      <c r="AE15" s="2632">
        <f>ROUND(AVERAGE(J15:J$29)/100,4)</f>
        <v>1.6400000000000001E-2</v>
      </c>
      <c r="AF15" s="2632">
        <f t="shared" si="1"/>
        <v>1.6400000000000001E-2</v>
      </c>
      <c r="AG15" s="2632">
        <f>ROUND(AVERAGE(K15:K$29)/100,4)</f>
        <v>2.7799999999999998E-2</v>
      </c>
      <c r="AH15" s="2632">
        <f>ROUND(AVERAGE(L15:L$29)/100,4)</f>
        <v>1.3899999999999999E-2</v>
      </c>
    </row>
    <row r="16" spans="1:34" s="2612" customFormat="1" ht="14.4" customHeight="1">
      <c r="A16" s="2614" t="s">
        <v>2577</v>
      </c>
      <c r="B16" s="2627">
        <f t="shared" si="14"/>
        <v>419.31181600000002</v>
      </c>
      <c r="C16" s="2627">
        <f t="shared" si="14"/>
        <v>313.95436800000004</v>
      </c>
      <c r="D16" s="2627">
        <f t="shared" si="11"/>
        <v>313.95436800000004</v>
      </c>
      <c r="E16" s="2627">
        <f t="shared" si="15"/>
        <v>596.63028431999999</v>
      </c>
      <c r="F16" s="2627">
        <f t="shared" si="15"/>
        <v>274.74220703999998</v>
      </c>
      <c r="G16" s="3650"/>
      <c r="H16" s="2618">
        <v>2</v>
      </c>
      <c r="I16" s="2618">
        <v>3.4</v>
      </c>
      <c r="J16" s="2618">
        <v>2</v>
      </c>
      <c r="K16" s="2618">
        <v>3.82</v>
      </c>
      <c r="L16" s="2629">
        <v>1.68</v>
      </c>
      <c r="N16" s="2622">
        <f t="shared" si="12"/>
        <v>3.4000000000000002E-2</v>
      </c>
      <c r="O16" s="2640">
        <f t="shared" si="13"/>
        <v>0.02</v>
      </c>
      <c r="P16" s="2640">
        <f t="shared" si="13"/>
        <v>3.8199999999999998E-2</v>
      </c>
      <c r="Q16" s="2640">
        <f t="shared" si="13"/>
        <v>1.6799999999999999E-2</v>
      </c>
      <c r="R16" s="2613"/>
      <c r="S16" s="2622"/>
      <c r="T16" s="2623"/>
      <c r="U16" s="2623"/>
      <c r="V16" s="2623"/>
      <c r="X16" s="2712">
        <f>ROUND(SUMPRODUCT(PRODUCT(1+N16:N$28)),4)</f>
        <v>1.3628</v>
      </c>
      <c r="Y16" s="2712">
        <f>ROUND(SUMPRODUCT(PRODUCT(1+O16:O$28)),4)</f>
        <v>1.2205999999999999</v>
      </c>
      <c r="Z16" s="2712">
        <f t="shared" si="0"/>
        <v>1.2205999999999999</v>
      </c>
      <c r="AA16" s="2712">
        <f>ROUND(SUMPRODUCT(PRODUCT(1+P16:P$28)),4)</f>
        <v>1.4118999999999999</v>
      </c>
      <c r="AB16" s="2712">
        <f>ROUND(SUMPRODUCT(PRODUCT(1+Q16:Q$28)),4)</f>
        <v>1.1930000000000001</v>
      </c>
      <c r="AD16" s="2632">
        <f>ROUND(AVERAGE(I16:I$29)/100,4)</f>
        <v>2.46E-2</v>
      </c>
      <c r="AE16" s="2632">
        <f>ROUND(AVERAGE(J16:J$29)/100,4)</f>
        <v>1.6E-2</v>
      </c>
      <c r="AF16" s="2632">
        <f t="shared" si="1"/>
        <v>1.6E-2</v>
      </c>
      <c r="AG16" s="2632">
        <f>ROUND(AVERAGE(K16:K$29)/100,4)</f>
        <v>2.75E-2</v>
      </c>
      <c r="AH16" s="2632">
        <f>ROUND(AVERAGE(L16:L$29)/100,4)</f>
        <v>1.37E-2</v>
      </c>
    </row>
    <row r="17" spans="1:34" s="2719" customFormat="1" ht="15" customHeight="1" thickBot="1">
      <c r="A17" s="2614" t="s">
        <v>2578</v>
      </c>
      <c r="B17" s="2627">
        <f t="shared" si="14"/>
        <v>405.524</v>
      </c>
      <c r="C17" s="2627">
        <f t="shared" si="14"/>
        <v>307.79840000000002</v>
      </c>
      <c r="D17" s="2627">
        <f t="shared" si="11"/>
        <v>307.79840000000002</v>
      </c>
      <c r="E17" s="2627">
        <f t="shared" si="15"/>
        <v>574.67759999999998</v>
      </c>
      <c r="F17" s="2627">
        <f t="shared" si="15"/>
        <v>270.20280000000002</v>
      </c>
      <c r="G17" s="3651"/>
      <c r="H17" s="2617">
        <v>1</v>
      </c>
      <c r="I17" s="2617">
        <v>3.45</v>
      </c>
      <c r="J17" s="2617">
        <v>1.92</v>
      </c>
      <c r="K17" s="2617">
        <v>3.92</v>
      </c>
      <c r="L17" s="2628">
        <v>1.58</v>
      </c>
      <c r="M17" s="2621"/>
      <c r="N17" s="2630">
        <f t="shared" si="12"/>
        <v>3.4500000000000003E-2</v>
      </c>
      <c r="O17" s="2631">
        <f t="shared" si="13"/>
        <v>1.9199999999999998E-2</v>
      </c>
      <c r="P17" s="2631">
        <f t="shared" si="13"/>
        <v>3.9199999999999999E-2</v>
      </c>
      <c r="Q17" s="2631">
        <f t="shared" si="13"/>
        <v>1.5800000000000002E-2</v>
      </c>
      <c r="R17" s="2624"/>
      <c r="S17" s="2630">
        <f>B17/B18-1</f>
        <v>3.4499999999999975E-2</v>
      </c>
      <c r="T17" s="2631">
        <f>C17/C18-1</f>
        <v>1.9200000000000106E-2</v>
      </c>
      <c r="U17" s="2631">
        <f>E17/E18-1</f>
        <v>3.9199999999999902E-2</v>
      </c>
      <c r="V17" s="2631">
        <f>F17/F18-1</f>
        <v>1.5800000000000036E-2</v>
      </c>
      <c r="W17" s="2621"/>
      <c r="X17" s="2712">
        <f>ROUND(SUMPRODUCT(PRODUCT(1+N17:N$28)),4)</f>
        <v>1.3180000000000001</v>
      </c>
      <c r="Y17" s="2712">
        <f>ROUND(SUMPRODUCT(PRODUCT(1+O17:O$28)),4)</f>
        <v>1.1966000000000001</v>
      </c>
      <c r="Z17" s="2712">
        <f t="shared" si="0"/>
        <v>1.1966000000000001</v>
      </c>
      <c r="AA17" s="2712">
        <f>ROUND(SUMPRODUCT(PRODUCT(1+P17:P$28)),4)</f>
        <v>1.36</v>
      </c>
      <c r="AB17" s="2712">
        <f>ROUND(SUMPRODUCT(PRODUCT(1+Q17:Q$28)),4)</f>
        <v>1.1733</v>
      </c>
      <c r="AC17" s="2621"/>
      <c r="AD17" s="2632">
        <f>ROUND(AVERAGE(I17:I$29)/100,4)</f>
        <v>2.3900000000000001E-2</v>
      </c>
      <c r="AE17" s="2632">
        <f>ROUND(AVERAGE(J17:J$29)/100,4)</f>
        <v>1.5699999999999999E-2</v>
      </c>
      <c r="AF17" s="2632">
        <f t="shared" si="1"/>
        <v>1.5699999999999999E-2</v>
      </c>
      <c r="AG17" s="2632">
        <f>ROUND(AVERAGE(K17:K$29)/100,4)</f>
        <v>2.6599999999999999E-2</v>
      </c>
      <c r="AH17" s="2632">
        <f>ROUND(AVERAGE(L17:L$29)/100,4)</f>
        <v>1.34E-2</v>
      </c>
    </row>
    <row r="18" spans="1:34">
      <c r="A18" s="2614" t="s">
        <v>970</v>
      </c>
      <c r="B18" s="2619">
        <v>392</v>
      </c>
      <c r="C18" s="2619">
        <v>302</v>
      </c>
      <c r="D18" s="2619">
        <f t="shared" si="11"/>
        <v>302</v>
      </c>
      <c r="E18" s="2619">
        <v>553</v>
      </c>
      <c r="F18" s="2620">
        <v>266</v>
      </c>
      <c r="G18" s="3649">
        <v>2016</v>
      </c>
      <c r="H18" s="2615">
        <v>4</v>
      </c>
      <c r="I18" s="2615">
        <v>4.5599999999999996</v>
      </c>
      <c r="J18" s="2615">
        <v>2.15</v>
      </c>
      <c r="K18" s="2615">
        <v>5.32</v>
      </c>
      <c r="L18" s="2616">
        <v>1.57</v>
      </c>
      <c r="N18" s="2622">
        <f t="shared" si="12"/>
        <v>4.5599999999999995E-2</v>
      </c>
      <c r="O18" s="2623">
        <f t="shared" ref="O18:Q33" si="16">J18/100</f>
        <v>2.1499999999999998E-2</v>
      </c>
      <c r="P18" s="2623">
        <f t="shared" si="16"/>
        <v>5.3200000000000004E-2</v>
      </c>
      <c r="Q18" s="2623">
        <f t="shared" si="16"/>
        <v>1.5700000000000002E-2</v>
      </c>
      <c r="R18" s="2624"/>
      <c r="S18" s="2625"/>
      <c r="T18" s="2626"/>
      <c r="U18" s="2626"/>
      <c r="V18" s="2626"/>
      <c r="X18" s="2712">
        <f>ROUND(SUMPRODUCT(PRODUCT(1+N18:N$28)),4)</f>
        <v>1.274</v>
      </c>
      <c r="Y18" s="2712">
        <f>ROUND(SUMPRODUCT(PRODUCT(1+O18:O$28)),4)</f>
        <v>1.1740999999999999</v>
      </c>
      <c r="Z18" s="2712">
        <f t="shared" si="0"/>
        <v>1.1740999999999999</v>
      </c>
      <c r="AA18" s="2712">
        <f>ROUND(SUMPRODUCT(PRODUCT(1+P18:P$28)),4)</f>
        <v>1.3087</v>
      </c>
      <c r="AB18" s="2712">
        <f>ROUND(SUMPRODUCT(PRODUCT(1+Q18:Q$28)),4)</f>
        <v>1.1551</v>
      </c>
      <c r="AD18" s="2632">
        <f>ROUND(AVERAGE(I18:I$29)/100,4)</f>
        <v>2.3E-2</v>
      </c>
      <c r="AE18" s="2632">
        <f>ROUND(AVERAGE(J18:J$29)/100,4)</f>
        <v>1.55E-2</v>
      </c>
      <c r="AF18" s="2632">
        <f t="shared" si="1"/>
        <v>1.55E-2</v>
      </c>
      <c r="AG18" s="2632">
        <f>ROUND(AVERAGE(K18:K$29)/100,4)</f>
        <v>2.5600000000000001E-2</v>
      </c>
      <c r="AH18" s="2632">
        <f>ROUND(AVERAGE(L18:L$29)/100,4)</f>
        <v>1.32E-2</v>
      </c>
    </row>
    <row r="19" spans="1:34">
      <c r="A19" s="2614" t="s">
        <v>969</v>
      </c>
      <c r="B19" s="2627">
        <f t="shared" ref="B19:C21" si="17">B18/(1+N18)</f>
        <v>374.90436113236416</v>
      </c>
      <c r="C19" s="2627">
        <f t="shared" si="17"/>
        <v>295.64366128242779</v>
      </c>
      <c r="D19" s="2627">
        <f t="shared" ref="D19:D78" si="18">C19</f>
        <v>295.64366128242779</v>
      </c>
      <c r="E19" s="2627">
        <f t="shared" ref="E19:F21" si="19">E18/(1+P18)</f>
        <v>525.06646410938095</v>
      </c>
      <c r="F19" s="2627">
        <f t="shared" si="19"/>
        <v>261.88835286009646</v>
      </c>
      <c r="G19" s="3650"/>
      <c r="H19" s="2617">
        <v>3</v>
      </c>
      <c r="I19" s="2617">
        <v>4.12</v>
      </c>
      <c r="J19" s="2617">
        <v>2</v>
      </c>
      <c r="K19" s="2617">
        <v>4.79</v>
      </c>
      <c r="L19" s="2628">
        <v>1.97</v>
      </c>
      <c r="N19" s="2622">
        <f t="shared" ref="N19:Q53" si="20">I19/100</f>
        <v>4.1200000000000001E-2</v>
      </c>
      <c r="O19" s="2623">
        <f t="shared" si="16"/>
        <v>0.02</v>
      </c>
      <c r="P19" s="2623">
        <f t="shared" si="16"/>
        <v>4.7899999999999998E-2</v>
      </c>
      <c r="Q19" s="2623">
        <f t="shared" si="16"/>
        <v>1.9699999999999999E-2</v>
      </c>
      <c r="R19" s="2624"/>
      <c r="S19" s="2622"/>
      <c r="T19" s="2623"/>
      <c r="U19" s="2623"/>
      <c r="V19" s="2623"/>
      <c r="X19" s="2712">
        <f>ROUND(SUMPRODUCT(PRODUCT(1+N19:N$28)),4)</f>
        <v>1.2184999999999999</v>
      </c>
      <c r="Y19" s="2712">
        <f>ROUND(SUMPRODUCT(PRODUCT(1+O19:O$28)),4)</f>
        <v>1.1494</v>
      </c>
      <c r="Z19" s="2712">
        <f t="shared" si="0"/>
        <v>1.1494</v>
      </c>
      <c r="AA19" s="2712">
        <f>ROUND(SUMPRODUCT(PRODUCT(1+P19:P$28)),4)</f>
        <v>1.2425999999999999</v>
      </c>
      <c r="AB19" s="2712">
        <f>ROUND(SUMPRODUCT(PRODUCT(1+Q19:Q$28)),4)</f>
        <v>1.1372</v>
      </c>
      <c r="AD19" s="2632">
        <f>ROUND(AVERAGE(I19:I$29)/100,4)</f>
        <v>2.0899999999999998E-2</v>
      </c>
      <c r="AE19" s="2632">
        <f>ROUND(AVERAGE(J19:J$29)/100,4)</f>
        <v>1.49E-2</v>
      </c>
      <c r="AF19" s="2632">
        <f t="shared" si="1"/>
        <v>1.49E-2</v>
      </c>
      <c r="AG19" s="2632">
        <f>ROUND(AVERAGE(K19:K$29)/100,4)</f>
        <v>2.3099999999999999E-2</v>
      </c>
      <c r="AH19" s="2632">
        <f>ROUND(AVERAGE(L19:L$29)/100,4)</f>
        <v>1.2999999999999999E-2</v>
      </c>
    </row>
    <row r="20" spans="1:34">
      <c r="A20" s="2614" t="s">
        <v>959</v>
      </c>
      <c r="B20" s="2627">
        <f t="shared" si="17"/>
        <v>360.06949782209392</v>
      </c>
      <c r="C20" s="2627">
        <f t="shared" si="17"/>
        <v>289.84672674747821</v>
      </c>
      <c r="D20" s="2627">
        <f t="shared" si="18"/>
        <v>289.84672674747821</v>
      </c>
      <c r="E20" s="2627">
        <f t="shared" si="19"/>
        <v>501.06543001181495</v>
      </c>
      <c r="F20" s="2627">
        <f t="shared" si="19"/>
        <v>256.82882500744967</v>
      </c>
      <c r="G20" s="3650"/>
      <c r="H20" s="2618">
        <v>2</v>
      </c>
      <c r="I20" s="2618">
        <v>3.85</v>
      </c>
      <c r="J20" s="2618">
        <v>1.95</v>
      </c>
      <c r="K20" s="2618">
        <v>4.4800000000000004</v>
      </c>
      <c r="L20" s="2629">
        <v>1.41</v>
      </c>
      <c r="N20" s="2622">
        <f t="shared" si="20"/>
        <v>3.85E-2</v>
      </c>
      <c r="O20" s="2623">
        <f t="shared" si="16"/>
        <v>1.95E-2</v>
      </c>
      <c r="P20" s="2623">
        <f t="shared" si="16"/>
        <v>4.4800000000000006E-2</v>
      </c>
      <c r="Q20" s="2623">
        <f t="shared" si="16"/>
        <v>1.41E-2</v>
      </c>
      <c r="R20" s="2624"/>
      <c r="S20" s="2622"/>
      <c r="T20" s="2623"/>
      <c r="U20" s="2623"/>
      <c r="V20" s="2623"/>
      <c r="X20" s="2712">
        <f>ROUND(SUMPRODUCT(PRODUCT(1+N20:N$28)),4)</f>
        <v>1.1702999999999999</v>
      </c>
      <c r="Y20" s="2712">
        <f>ROUND(SUMPRODUCT(PRODUCT(1+O20:O$28)),4)</f>
        <v>1.1269</v>
      </c>
      <c r="Z20" s="2712">
        <f t="shared" si="0"/>
        <v>1.1269</v>
      </c>
      <c r="AA20" s="2712">
        <f>ROUND(SUMPRODUCT(PRODUCT(1+P20:P$28)),4)</f>
        <v>1.1858</v>
      </c>
      <c r="AB20" s="2712">
        <f>ROUND(SUMPRODUCT(PRODUCT(1+Q20:Q$28)),4)</f>
        <v>1.1152</v>
      </c>
      <c r="AD20" s="2632">
        <f>ROUND(AVERAGE(I20:I$29)/100,4)</f>
        <v>1.89E-2</v>
      </c>
      <c r="AE20" s="2632">
        <f>ROUND(AVERAGE(J20:J$29)/100,4)</f>
        <v>1.44E-2</v>
      </c>
      <c r="AF20" s="2632">
        <f t="shared" si="1"/>
        <v>1.44E-2</v>
      </c>
      <c r="AG20" s="2632">
        <f>ROUND(AVERAGE(K20:K$29)/100,4)</f>
        <v>2.06E-2</v>
      </c>
      <c r="AH20" s="2632">
        <f>ROUND(AVERAGE(L20:L$29)/100,4)</f>
        <v>1.23E-2</v>
      </c>
    </row>
    <row r="21" spans="1:34" ht="13.8" thickBot="1">
      <c r="A21" s="2614" t="s">
        <v>968</v>
      </c>
      <c r="B21" s="2627">
        <f t="shared" si="17"/>
        <v>346.720748986128</v>
      </c>
      <c r="C21" s="2627">
        <f t="shared" si="17"/>
        <v>284.30282172386285</v>
      </c>
      <c r="D21" s="2627">
        <f t="shared" si="18"/>
        <v>284.30282172386285</v>
      </c>
      <c r="E21" s="2627">
        <f t="shared" si="19"/>
        <v>479.58023546306947</v>
      </c>
      <c r="F21" s="2627">
        <f t="shared" si="19"/>
        <v>253.25788877571213</v>
      </c>
      <c r="G21" s="3653"/>
      <c r="H21" s="2617">
        <v>1</v>
      </c>
      <c r="I21" s="2617">
        <v>4.09</v>
      </c>
      <c r="J21" s="2617">
        <v>2.93</v>
      </c>
      <c r="K21" s="2617">
        <v>4.54</v>
      </c>
      <c r="L21" s="2628">
        <v>1.48</v>
      </c>
      <c r="N21" s="2622">
        <f t="shared" si="20"/>
        <v>4.0899999999999999E-2</v>
      </c>
      <c r="O21" s="2623">
        <f t="shared" si="16"/>
        <v>2.9300000000000003E-2</v>
      </c>
      <c r="P21" s="2623">
        <f t="shared" si="16"/>
        <v>4.5400000000000003E-2</v>
      </c>
      <c r="Q21" s="2623">
        <f t="shared" si="16"/>
        <v>1.4800000000000001E-2</v>
      </c>
      <c r="R21" s="2624"/>
      <c r="S21" s="2630">
        <f>B21/B22-1</f>
        <v>4.1203450408792808E-2</v>
      </c>
      <c r="T21" s="2631">
        <f>C21/C22-1</f>
        <v>2.6363977342465095E-2</v>
      </c>
      <c r="U21" s="2631">
        <f>E21/E22-1</f>
        <v>4.4837114298626357E-2</v>
      </c>
      <c r="V21" s="2631">
        <f>F21/F22-1</f>
        <v>1.7099954922538574E-2</v>
      </c>
      <c r="X21" s="2712">
        <f>ROUND(SUMPRODUCT(PRODUCT(1+N21:N$28)),4)</f>
        <v>1.1269</v>
      </c>
      <c r="Y21" s="2712">
        <f>ROUND(SUMPRODUCT(PRODUCT(1+O21:O$28)),4)</f>
        <v>1.1052999999999999</v>
      </c>
      <c r="Z21" s="2712">
        <f t="shared" si="0"/>
        <v>1.1052999999999999</v>
      </c>
      <c r="AA21" s="2712">
        <f>ROUND(SUMPRODUCT(PRODUCT(1+P21:P$28)),4)</f>
        <v>1.1349</v>
      </c>
      <c r="AB21" s="2712">
        <f>ROUND(SUMPRODUCT(PRODUCT(1+Q21:Q$28)),4)</f>
        <v>1.0996999999999999</v>
      </c>
      <c r="AD21" s="2632">
        <f>ROUND(AVERAGE(I21:I$29)/100,4)</f>
        <v>1.67E-2</v>
      </c>
      <c r="AE21" s="2632">
        <f>ROUND(AVERAGE(J21:J$29)/100,4)</f>
        <v>1.38E-2</v>
      </c>
      <c r="AF21" s="2632">
        <f t="shared" si="1"/>
        <v>1.38E-2</v>
      </c>
      <c r="AG21" s="2632">
        <f>ROUND(AVERAGE(K21:K$29)/100,4)</f>
        <v>1.7899999999999999E-2</v>
      </c>
      <c r="AH21" s="2632">
        <f>ROUND(AVERAGE(L21:L$29)/100,4)</f>
        <v>1.21E-2</v>
      </c>
    </row>
    <row r="22" spans="1:34" ht="13.8" thickBot="1">
      <c r="A22" s="2614" t="s">
        <v>967</v>
      </c>
      <c r="B22" s="2619">
        <v>333</v>
      </c>
      <c r="C22" s="2619">
        <v>277</v>
      </c>
      <c r="D22" s="2619">
        <f t="shared" si="18"/>
        <v>277</v>
      </c>
      <c r="E22" s="2619">
        <v>459</v>
      </c>
      <c r="F22" s="2620">
        <v>249</v>
      </c>
      <c r="G22" s="3652">
        <v>2015</v>
      </c>
      <c r="H22" s="2633">
        <v>4</v>
      </c>
      <c r="I22" s="2633">
        <v>1.63</v>
      </c>
      <c r="J22" s="2633">
        <v>1.1100000000000001</v>
      </c>
      <c r="K22" s="2633">
        <v>1.77</v>
      </c>
      <c r="L22" s="2634">
        <v>1.89</v>
      </c>
      <c r="N22" s="2635">
        <f t="shared" si="20"/>
        <v>1.6299999999999999E-2</v>
      </c>
      <c r="O22" s="2636">
        <f t="shared" si="16"/>
        <v>1.11E-2</v>
      </c>
      <c r="P22" s="2636">
        <f t="shared" si="16"/>
        <v>1.77E-2</v>
      </c>
      <c r="Q22" s="2636">
        <f t="shared" si="16"/>
        <v>1.89E-2</v>
      </c>
      <c r="R22" s="2624"/>
      <c r="X22" s="2712">
        <f>ROUND(SUMPRODUCT(PRODUCT(1+N22:N$28)),4)</f>
        <v>1.0826</v>
      </c>
      <c r="Y22" s="2712">
        <f>ROUND(SUMPRODUCT(PRODUCT(1+O22:O$28)),4)</f>
        <v>1.0738000000000001</v>
      </c>
      <c r="Z22" s="2712">
        <f t="shared" si="0"/>
        <v>1.0738000000000001</v>
      </c>
      <c r="AA22" s="2712">
        <f>ROUND(SUMPRODUCT(PRODUCT(1+P22:P$28)),4)</f>
        <v>1.0855999999999999</v>
      </c>
      <c r="AB22" s="2712">
        <f>ROUND(SUMPRODUCT(PRODUCT(1+Q22:Q$28)),4)</f>
        <v>1.0837000000000001</v>
      </c>
      <c r="AD22" s="2632">
        <f>ROUND(AVERAGE(I22:I$29)/100,4)</f>
        <v>1.37E-2</v>
      </c>
      <c r="AE22" s="2632">
        <f>ROUND(AVERAGE(J22:J$29)/100,4)</f>
        <v>1.1900000000000001E-2</v>
      </c>
      <c r="AF22" s="2632">
        <f t="shared" si="1"/>
        <v>1.1900000000000001E-2</v>
      </c>
      <c r="AG22" s="2632">
        <f>ROUND(AVERAGE(K22:K$29)/100,4)</f>
        <v>1.4500000000000001E-2</v>
      </c>
      <c r="AH22" s="2632">
        <f>ROUND(AVERAGE(L22:L$29)/100,4)</f>
        <v>1.18E-2</v>
      </c>
    </row>
    <row r="23" spans="1:34">
      <c r="A23" s="2614" t="s">
        <v>966</v>
      </c>
      <c r="B23" s="2627">
        <f t="shared" ref="B23:C25" si="21">B22/(1+N22)</f>
        <v>327.65915576109415</v>
      </c>
      <c r="C23" s="2627">
        <f t="shared" si="21"/>
        <v>273.95905449510434</v>
      </c>
      <c r="D23" s="2627">
        <f t="shared" si="18"/>
        <v>273.95905449510434</v>
      </c>
      <c r="E23" s="2627">
        <f t="shared" ref="E23:F25" si="22">E22/(1+P22)</f>
        <v>451.01699911565294</v>
      </c>
      <c r="F23" s="2627">
        <f t="shared" si="22"/>
        <v>244.38119540681129</v>
      </c>
      <c r="G23" s="3650"/>
      <c r="H23" s="2638">
        <v>3</v>
      </c>
      <c r="I23" s="2638">
        <v>1.65</v>
      </c>
      <c r="J23" s="2638">
        <v>0.92</v>
      </c>
      <c r="K23" s="2638">
        <v>1.88</v>
      </c>
      <c r="L23" s="2639">
        <v>1.26</v>
      </c>
      <c r="N23" s="2622">
        <f t="shared" si="20"/>
        <v>1.6500000000000001E-2</v>
      </c>
      <c r="O23" s="2640">
        <f t="shared" si="16"/>
        <v>9.1999999999999998E-3</v>
      </c>
      <c r="P23" s="2640">
        <f t="shared" si="16"/>
        <v>1.8799999999999997E-2</v>
      </c>
      <c r="Q23" s="2640">
        <f t="shared" si="16"/>
        <v>1.26E-2</v>
      </c>
      <c r="R23" s="2624"/>
      <c r="S23" s="2622"/>
      <c r="T23" s="2623"/>
      <c r="U23" s="2623"/>
      <c r="V23" s="2623"/>
      <c r="X23" s="2712">
        <f>ROUND(SUMPRODUCT(PRODUCT(1+N23:N$28)),4)</f>
        <v>1.0651999999999999</v>
      </c>
      <c r="Y23" s="2712">
        <f>ROUND(SUMPRODUCT(PRODUCT(1+O23:O$28)),4)</f>
        <v>1.0621</v>
      </c>
      <c r="Z23" s="2712">
        <f t="shared" si="0"/>
        <v>1.0621</v>
      </c>
      <c r="AA23" s="2712">
        <f>ROUND(SUMPRODUCT(PRODUCT(1+P23:P$28)),4)</f>
        <v>1.0668</v>
      </c>
      <c r="AB23" s="2712">
        <f>ROUND(SUMPRODUCT(PRODUCT(1+Q23:Q$28)),4)</f>
        <v>1.0636000000000001</v>
      </c>
      <c r="AD23" s="2632">
        <f>ROUND(AVERAGE(I23:I$29)/100,4)</f>
        <v>1.3299999999999999E-2</v>
      </c>
      <c r="AE23" s="2632">
        <f>ROUND(AVERAGE(J23:J$29)/100,4)</f>
        <v>1.2E-2</v>
      </c>
      <c r="AF23" s="2632">
        <f t="shared" si="1"/>
        <v>1.2E-2</v>
      </c>
      <c r="AG23" s="2632">
        <f>ROUND(AVERAGE(K23:K$29)/100,4)</f>
        <v>1.4E-2</v>
      </c>
      <c r="AH23" s="2632">
        <f>ROUND(AVERAGE(L23:L$29)/100,4)</f>
        <v>1.0800000000000001E-2</v>
      </c>
    </row>
    <row r="24" spans="1:34">
      <c r="A24" s="2614" t="s">
        <v>965</v>
      </c>
      <c r="B24" s="2627">
        <f t="shared" si="21"/>
        <v>322.34053690220776</v>
      </c>
      <c r="C24" s="2627">
        <f t="shared" si="21"/>
        <v>271.46160770422546</v>
      </c>
      <c r="D24" s="2627">
        <f t="shared" si="18"/>
        <v>271.46160770422546</v>
      </c>
      <c r="E24" s="2627">
        <f t="shared" si="22"/>
        <v>442.69434542172456</v>
      </c>
      <c r="F24" s="2627">
        <f t="shared" si="22"/>
        <v>241.34030753190925</v>
      </c>
      <c r="G24" s="3650"/>
      <c r="H24" s="2618">
        <v>2</v>
      </c>
      <c r="I24" s="2618">
        <v>0.77</v>
      </c>
      <c r="J24" s="2618">
        <v>0.69</v>
      </c>
      <c r="K24" s="2618">
        <v>0.8</v>
      </c>
      <c r="L24" s="2629">
        <v>0.88</v>
      </c>
      <c r="N24" s="2622">
        <f t="shared" si="20"/>
        <v>7.7000000000000002E-3</v>
      </c>
      <c r="O24" s="2640">
        <f t="shared" si="16"/>
        <v>6.8999999999999999E-3</v>
      </c>
      <c r="P24" s="2640">
        <f t="shared" si="16"/>
        <v>8.0000000000000002E-3</v>
      </c>
      <c r="Q24" s="2640">
        <f t="shared" si="16"/>
        <v>8.8000000000000005E-3</v>
      </c>
      <c r="R24" s="2624"/>
      <c r="S24" s="2622"/>
      <c r="T24" s="2623"/>
      <c r="U24" s="2623"/>
      <c r="V24" s="2623"/>
      <c r="X24" s="2712">
        <f>ROUND(SUMPRODUCT(PRODUCT(1+N24:N$28)),4)</f>
        <v>1.048</v>
      </c>
      <c r="Y24" s="2712">
        <f>ROUND(SUMPRODUCT(PRODUCT(1+O24:O$28)),4)</f>
        <v>1.0524</v>
      </c>
      <c r="Z24" s="2712">
        <f t="shared" si="0"/>
        <v>1.0524</v>
      </c>
      <c r="AA24" s="2712">
        <f>ROUND(SUMPRODUCT(PRODUCT(1+P24:P$28)),4)</f>
        <v>1.0470999999999999</v>
      </c>
      <c r="AB24" s="2712">
        <f>ROUND(SUMPRODUCT(PRODUCT(1+Q24:Q$28)),4)</f>
        <v>1.0504</v>
      </c>
      <c r="AD24" s="2632">
        <f>ROUND(AVERAGE(I24:I$29)/100,4)</f>
        <v>1.2800000000000001E-2</v>
      </c>
      <c r="AE24" s="2632">
        <f>ROUND(AVERAGE(J24:J$29)/100,4)</f>
        <v>1.2500000000000001E-2</v>
      </c>
      <c r="AF24" s="2632">
        <f t="shared" si="1"/>
        <v>1.2500000000000001E-2</v>
      </c>
      <c r="AG24" s="2632">
        <f>ROUND(AVERAGE(K24:K$29)/100,4)</f>
        <v>1.32E-2</v>
      </c>
      <c r="AH24" s="2632">
        <f>ROUND(AVERAGE(L24:L$29)/100,4)</f>
        <v>1.0500000000000001E-2</v>
      </c>
    </row>
    <row r="25" spans="1:34">
      <c r="A25" s="2614" t="s">
        <v>964</v>
      </c>
      <c r="B25" s="2627">
        <f t="shared" si="21"/>
        <v>319.87748030386797</v>
      </c>
      <c r="C25" s="2627">
        <f t="shared" si="21"/>
        <v>269.60135833173649</v>
      </c>
      <c r="D25" s="2627">
        <f t="shared" si="18"/>
        <v>269.60135833173649</v>
      </c>
      <c r="E25" s="2627">
        <f t="shared" si="22"/>
        <v>439.18089823583784</v>
      </c>
      <c r="F25" s="2627">
        <f t="shared" si="22"/>
        <v>239.23503918706311</v>
      </c>
      <c r="G25" s="3653"/>
      <c r="H25" s="2617">
        <v>1</v>
      </c>
      <c r="I25" s="2617">
        <v>0.51</v>
      </c>
      <c r="J25" s="2617">
        <v>0.54</v>
      </c>
      <c r="K25" s="2617">
        <v>0.48</v>
      </c>
      <c r="L25" s="2628">
        <v>0.93</v>
      </c>
      <c r="N25" s="2630">
        <f t="shared" si="20"/>
        <v>5.1000000000000004E-3</v>
      </c>
      <c r="O25" s="2631">
        <f t="shared" si="16"/>
        <v>5.4000000000000003E-3</v>
      </c>
      <c r="P25" s="2631">
        <f t="shared" si="16"/>
        <v>4.7999999999999996E-3</v>
      </c>
      <c r="Q25" s="2631">
        <f t="shared" si="16"/>
        <v>9.300000000000001E-3</v>
      </c>
      <c r="R25" s="2624"/>
      <c r="S25" s="2630">
        <f>B25/B26-1</f>
        <v>5.9040261127922822E-3</v>
      </c>
      <c r="T25" s="2631">
        <f>C25/C26-1</f>
        <v>5.9752176557332781E-3</v>
      </c>
      <c r="U25" s="2631">
        <f>E25/E26-1</f>
        <v>4.9906138119859556E-3</v>
      </c>
      <c r="V25" s="2631">
        <f>F25/F26-1</f>
        <v>9.4305450930933787E-3</v>
      </c>
      <c r="X25" s="2712">
        <f>ROUND(SUMPRODUCT(PRODUCT(1+N25:N$28)),4)</f>
        <v>1.0399</v>
      </c>
      <c r="Y25" s="2712">
        <f>ROUND(SUMPRODUCT(PRODUCT(1+O25:O$28)),4)</f>
        <v>1.0451999999999999</v>
      </c>
      <c r="Z25" s="2712">
        <f t="shared" si="0"/>
        <v>1.0451999999999999</v>
      </c>
      <c r="AA25" s="2712">
        <f>ROUND(SUMPRODUCT(PRODUCT(1+P25:P$28)),4)</f>
        <v>1.0387999999999999</v>
      </c>
      <c r="AB25" s="2712">
        <f>ROUND(SUMPRODUCT(PRODUCT(1+Q25:Q$28)),4)</f>
        <v>1.0411999999999999</v>
      </c>
      <c r="AD25" s="2632">
        <f>ROUND(AVERAGE(I25:I$29)/100,4)</f>
        <v>1.38E-2</v>
      </c>
      <c r="AE25" s="2632">
        <f>ROUND(AVERAGE(J25:J$29)/100,4)</f>
        <v>1.3599999999999999E-2</v>
      </c>
      <c r="AF25" s="2632">
        <f t="shared" si="1"/>
        <v>1.3599999999999999E-2</v>
      </c>
      <c r="AG25" s="2632">
        <f>ROUND(AVERAGE(K25:K$29)/100,4)</f>
        <v>1.4200000000000001E-2</v>
      </c>
      <c r="AH25" s="2632">
        <f>ROUND(AVERAGE(L25:L$29)/100,4)</f>
        <v>1.0800000000000001E-2</v>
      </c>
    </row>
    <row r="26" spans="1:34" ht="13.8" thickBot="1">
      <c r="A26" s="2614" t="s">
        <v>963</v>
      </c>
      <c r="B26" s="2641">
        <v>318</v>
      </c>
      <c r="C26" s="2641">
        <v>268</v>
      </c>
      <c r="D26" s="2641">
        <f t="shared" si="18"/>
        <v>268</v>
      </c>
      <c r="E26" s="2641">
        <v>437</v>
      </c>
      <c r="F26" s="2642">
        <v>237</v>
      </c>
      <c r="G26" s="3652">
        <v>2014</v>
      </c>
      <c r="H26" s="2633">
        <v>4</v>
      </c>
      <c r="I26" s="2633">
        <v>0.21</v>
      </c>
      <c r="J26" s="2633">
        <v>0.41</v>
      </c>
      <c r="K26" s="2633">
        <v>0.12</v>
      </c>
      <c r="L26" s="2634">
        <v>0.89</v>
      </c>
      <c r="N26" s="2622">
        <f t="shared" si="20"/>
        <v>2.0999999999999999E-3</v>
      </c>
      <c r="O26" s="2623">
        <f t="shared" si="16"/>
        <v>4.0999999999999995E-3</v>
      </c>
      <c r="P26" s="2623">
        <f t="shared" si="16"/>
        <v>1.1999999999999999E-3</v>
      </c>
      <c r="Q26" s="2623">
        <f t="shared" si="16"/>
        <v>8.8999999999999999E-3</v>
      </c>
      <c r="R26" s="2624"/>
      <c r="S26" s="2625"/>
      <c r="T26" s="2626"/>
      <c r="U26" s="2626"/>
      <c r="V26" s="2626"/>
      <c r="X26" s="2712">
        <f>ROUND(SUMPRODUCT(PRODUCT(1+N26:N$28)),4)</f>
        <v>1.0347</v>
      </c>
      <c r="Y26" s="2712">
        <f>ROUND(SUMPRODUCT(PRODUCT(1+O26:O$28)),4)</f>
        <v>1.0395000000000001</v>
      </c>
      <c r="Z26" s="2712">
        <f t="shared" si="0"/>
        <v>1.0395000000000001</v>
      </c>
      <c r="AA26" s="2712">
        <f>ROUND(SUMPRODUCT(PRODUCT(1+P26:P$28)),4)</f>
        <v>1.0338000000000001</v>
      </c>
      <c r="AB26" s="2712">
        <f>ROUND(SUMPRODUCT(PRODUCT(1+Q26:Q$28)),4)</f>
        <v>1.0316000000000001</v>
      </c>
      <c r="AD26" s="2632">
        <f>ROUND(AVERAGE(I26:I$29)/100,4)</f>
        <v>1.6E-2</v>
      </c>
      <c r="AE26" s="2632">
        <f>ROUND(AVERAGE(J26:J$29)/100,4)</f>
        <v>1.5599999999999999E-2</v>
      </c>
      <c r="AF26" s="2632">
        <f t="shared" si="1"/>
        <v>1.5599999999999999E-2</v>
      </c>
      <c r="AG26" s="2632">
        <f>ROUND(AVERAGE(K26:K$29)/100,4)</f>
        <v>1.66E-2</v>
      </c>
      <c r="AH26" s="2632">
        <f>ROUND(AVERAGE(L26:L$29)/100,4)</f>
        <v>1.12E-2</v>
      </c>
    </row>
    <row r="27" spans="1:34">
      <c r="A27" s="2614" t="s">
        <v>962</v>
      </c>
      <c r="B27" s="2627">
        <f t="shared" ref="B27:C29" si="23">B26/(1+N26)</f>
        <v>317.33359944117353</v>
      </c>
      <c r="C27" s="2627">
        <f t="shared" si="23"/>
        <v>266.90568668459315</v>
      </c>
      <c r="D27" s="2627">
        <f t="shared" si="18"/>
        <v>266.90568668459315</v>
      </c>
      <c r="E27" s="2627">
        <f t="shared" ref="E27:F29" si="24">E26/(1+P26)</f>
        <v>436.47622852576905</v>
      </c>
      <c r="F27" s="2627">
        <f t="shared" si="24"/>
        <v>234.90930716622066</v>
      </c>
      <c r="G27" s="3650"/>
      <c r="H27" s="2643">
        <v>3</v>
      </c>
      <c r="I27" s="2643">
        <v>0.83</v>
      </c>
      <c r="J27" s="2643">
        <v>1.47</v>
      </c>
      <c r="K27" s="2643">
        <v>0.65</v>
      </c>
      <c r="L27" s="2644">
        <v>0.72</v>
      </c>
      <c r="N27" s="2622">
        <f t="shared" si="20"/>
        <v>8.3000000000000001E-3</v>
      </c>
      <c r="O27" s="2623">
        <f t="shared" si="16"/>
        <v>1.47E-2</v>
      </c>
      <c r="P27" s="2623">
        <f t="shared" si="16"/>
        <v>6.5000000000000006E-3</v>
      </c>
      <c r="Q27" s="2623">
        <f t="shared" si="16"/>
        <v>7.1999999999999998E-3</v>
      </c>
      <c r="R27" s="2624"/>
      <c r="S27" s="2622"/>
      <c r="T27" s="2623"/>
      <c r="U27" s="2623"/>
      <c r="V27" s="2623"/>
      <c r="X27" s="2712">
        <f>ROUND(SUMPRODUCT(PRODUCT(1+N27:N$28)),4)</f>
        <v>1.0325</v>
      </c>
      <c r="Y27" s="2712">
        <f>ROUND(SUMPRODUCT(PRODUCT(1+O27:O$28)),4)</f>
        <v>1.0353000000000001</v>
      </c>
      <c r="Z27" s="2712">
        <f>Y27</f>
        <v>1.0353000000000001</v>
      </c>
      <c r="AA27" s="2712">
        <f>ROUND(SUMPRODUCT(PRODUCT(1+P27:P$28)),4)</f>
        <v>1.0326</v>
      </c>
      <c r="AB27" s="2712">
        <f>ROUND(SUMPRODUCT(PRODUCT(1+Q27:Q$28)),4)</f>
        <v>1.0225</v>
      </c>
      <c r="AD27" s="2632">
        <f>ROUND(AVERAGE(I27:I$29)/100,4)</f>
        <v>2.07E-2</v>
      </c>
      <c r="AE27" s="2632">
        <f>ROUND(AVERAGE(J27:J$29)/100,4)</f>
        <v>1.95E-2</v>
      </c>
      <c r="AF27" s="2632">
        <f t="shared" si="1"/>
        <v>1.95E-2</v>
      </c>
      <c r="AG27" s="2632">
        <f>ROUND(AVERAGE(K27:K$29)/100,4)</f>
        <v>2.1700000000000001E-2</v>
      </c>
      <c r="AH27" s="2632">
        <f>ROUND(AVERAGE(L27:L$29)/100,4)</f>
        <v>1.2E-2</v>
      </c>
    </row>
    <row r="28" spans="1:34" ht="13.8" thickBot="1">
      <c r="A28" s="2614" t="s">
        <v>961</v>
      </c>
      <c r="B28" s="2627">
        <f t="shared" si="23"/>
        <v>314.72141172386546</v>
      </c>
      <c r="C28" s="2627">
        <f t="shared" si="23"/>
        <v>263.03901319069001</v>
      </c>
      <c r="D28" s="2627">
        <f t="shared" si="18"/>
        <v>263.03901319069001</v>
      </c>
      <c r="E28" s="2627">
        <f t="shared" si="24"/>
        <v>433.65745506782821</v>
      </c>
      <c r="F28" s="2627">
        <f t="shared" si="24"/>
        <v>233.23005080045735</v>
      </c>
      <c r="G28" s="3650"/>
      <c r="H28" s="2633">
        <v>2</v>
      </c>
      <c r="I28" s="2633">
        <v>2.4</v>
      </c>
      <c r="J28" s="2633">
        <v>2.0299999999999998</v>
      </c>
      <c r="K28" s="2633">
        <v>2.59</v>
      </c>
      <c r="L28" s="2634">
        <v>1.52</v>
      </c>
      <c r="N28" s="2622">
        <f t="shared" si="20"/>
        <v>2.4E-2</v>
      </c>
      <c r="O28" s="2623">
        <f t="shared" si="16"/>
        <v>2.0299999999999999E-2</v>
      </c>
      <c r="P28" s="2623">
        <f t="shared" si="16"/>
        <v>2.5899999999999999E-2</v>
      </c>
      <c r="Q28" s="2623">
        <f t="shared" si="16"/>
        <v>1.52E-2</v>
      </c>
      <c r="R28" s="2624"/>
      <c r="S28" s="2622"/>
      <c r="T28" s="2623"/>
      <c r="U28" s="2623"/>
      <c r="V28" s="2623"/>
      <c r="X28" s="2712">
        <f>1+N28</f>
        <v>1.024</v>
      </c>
      <c r="Y28" s="2712">
        <f>1+O28</f>
        <v>1.0203</v>
      </c>
      <c r="Z28" s="2712">
        <f>Y28</f>
        <v>1.0203</v>
      </c>
      <c r="AA28" s="2712">
        <f>1+P28</f>
        <v>1.0259</v>
      </c>
      <c r="AB28" s="2712">
        <f>1+Q28</f>
        <v>1.0152000000000001</v>
      </c>
      <c r="AD28" s="2632">
        <f>ROUND(AVERAGE(I28:I$29)/100,4)</f>
        <v>2.69E-2</v>
      </c>
      <c r="AE28" s="2632">
        <f>ROUND(AVERAGE(J28:J$29)/100,4)</f>
        <v>2.1899999999999999E-2</v>
      </c>
      <c r="AF28" s="2632">
        <f>AE28</f>
        <v>2.1899999999999999E-2</v>
      </c>
      <c r="AG28" s="2632">
        <f>ROUND(AVERAGE(K28:K$29)/100,4)</f>
        <v>2.9399999999999999E-2</v>
      </c>
      <c r="AH28" s="2632">
        <f>ROUND(AVERAGE(L28:L$29)/100,4)</f>
        <v>1.44E-2</v>
      </c>
    </row>
    <row r="29" spans="1:34" s="2649" customFormat="1" ht="13.8" thickBot="1">
      <c r="A29" s="2645" t="s">
        <v>960</v>
      </c>
      <c r="B29" s="2646">
        <f t="shared" si="23"/>
        <v>307.34512863658733</v>
      </c>
      <c r="C29" s="2646">
        <f t="shared" si="23"/>
        <v>257.80556031626975</v>
      </c>
      <c r="D29" s="2646">
        <f t="shared" si="18"/>
        <v>257.80556031626975</v>
      </c>
      <c r="E29" s="2646">
        <f t="shared" si="24"/>
        <v>422.70928459677179</v>
      </c>
      <c r="F29" s="2646">
        <f t="shared" si="24"/>
        <v>229.73803270336617</v>
      </c>
      <c r="G29" s="3653"/>
      <c r="H29" s="2647">
        <v>1</v>
      </c>
      <c r="I29" s="2647">
        <v>2.97</v>
      </c>
      <c r="J29" s="2647">
        <v>2.34</v>
      </c>
      <c r="K29" s="2647">
        <v>3.28</v>
      </c>
      <c r="L29" s="2648">
        <v>1.36</v>
      </c>
      <c r="N29" s="2650">
        <f t="shared" si="20"/>
        <v>2.9700000000000001E-2</v>
      </c>
      <c r="O29" s="2651">
        <f t="shared" si="16"/>
        <v>2.3399999999999997E-2</v>
      </c>
      <c r="P29" s="2651">
        <f t="shared" si="16"/>
        <v>3.2799999999999996E-2</v>
      </c>
      <c r="Q29" s="2651">
        <f t="shared" si="16"/>
        <v>1.3600000000000001E-2</v>
      </c>
      <c r="R29" s="2652"/>
      <c r="S29" s="2653">
        <f>B29/B30-1</f>
        <v>2.7910129219355539E-2</v>
      </c>
      <c r="T29" s="2654">
        <f>C29/C30-1</f>
        <v>2.3037937762975247E-2</v>
      </c>
      <c r="U29" s="2654">
        <f>E29/E30-1</f>
        <v>3.3519033243940788E-2</v>
      </c>
      <c r="V29" s="2654">
        <f>F29/F30-1</f>
        <v>1.2061818076502862E-2</v>
      </c>
      <c r="W29" s="2721" t="s">
        <v>2636</v>
      </c>
      <c r="X29" s="2723">
        <v>1</v>
      </c>
      <c r="Y29" s="2723">
        <v>1</v>
      </c>
      <c r="Z29" s="2723">
        <v>1</v>
      </c>
      <c r="AA29" s="2723">
        <v>1</v>
      </c>
      <c r="AB29" s="2723">
        <v>1</v>
      </c>
      <c r="AD29" s="2955">
        <f>I29/100</f>
        <v>2.9700000000000001E-2</v>
      </c>
      <c r="AE29" s="2955">
        <f>J29/100</f>
        <v>2.3399999999999997E-2</v>
      </c>
      <c r="AF29" s="2955">
        <f>AE29</f>
        <v>2.3399999999999997E-2</v>
      </c>
      <c r="AG29" s="2955">
        <f>K29/100</f>
        <v>3.2799999999999996E-2</v>
      </c>
      <c r="AH29" s="2955">
        <f>L29/100</f>
        <v>1.3600000000000001E-2</v>
      </c>
    </row>
    <row r="30" spans="1:34" ht="13.8" thickBot="1">
      <c r="A30" s="2614" t="s">
        <v>2579</v>
      </c>
      <c r="B30" s="2619">
        <v>299</v>
      </c>
      <c r="C30" s="2619">
        <v>252</v>
      </c>
      <c r="D30" s="2619">
        <f t="shared" si="18"/>
        <v>252</v>
      </c>
      <c r="E30" s="2619">
        <v>409</v>
      </c>
      <c r="F30" s="2620">
        <v>227</v>
      </c>
      <c r="G30" s="3657">
        <v>2013</v>
      </c>
      <c r="H30" s="2655">
        <v>4</v>
      </c>
      <c r="I30" s="2655">
        <v>1.83</v>
      </c>
      <c r="J30" s="2655">
        <v>1.68</v>
      </c>
      <c r="K30" s="2655">
        <v>1.97</v>
      </c>
      <c r="L30" s="2656">
        <v>0.87</v>
      </c>
      <c r="N30" s="2635">
        <f t="shared" si="20"/>
        <v>1.83E-2</v>
      </c>
      <c r="O30" s="2636">
        <f t="shared" si="16"/>
        <v>1.6799999999999999E-2</v>
      </c>
      <c r="P30" s="2636">
        <f t="shared" si="16"/>
        <v>1.9699999999999999E-2</v>
      </c>
      <c r="Q30" s="2636">
        <f t="shared" si="16"/>
        <v>8.6999999999999994E-3</v>
      </c>
      <c r="R30" s="2624"/>
      <c r="S30" s="2625"/>
      <c r="T30" s="2626"/>
      <c r="U30" s="2626"/>
      <c r="V30" s="2626"/>
      <c r="X30" s="2626"/>
      <c r="Y30" s="2626"/>
      <c r="Z30" s="2626"/>
    </row>
    <row r="31" spans="1:34">
      <c r="A31" s="2614" t="s">
        <v>2580</v>
      </c>
      <c r="B31" s="2627">
        <f t="shared" ref="B31:C33" si="25">B30/(1+N30)</f>
        <v>293.62663262299913</v>
      </c>
      <c r="C31" s="2627">
        <f t="shared" si="25"/>
        <v>247.83634933123525</v>
      </c>
      <c r="D31" s="2627">
        <f t="shared" si="18"/>
        <v>247.83634933123525</v>
      </c>
      <c r="E31" s="2627">
        <f t="shared" ref="E31:F33" si="26">E30/(1+P30)</f>
        <v>401.09836226341076</v>
      </c>
      <c r="F31" s="2627">
        <f t="shared" si="26"/>
        <v>225.04213343908003</v>
      </c>
      <c r="G31" s="3658"/>
      <c r="H31" s="2638">
        <v>3</v>
      </c>
      <c r="I31" s="2638">
        <v>1.86</v>
      </c>
      <c r="J31" s="2638">
        <v>1.72</v>
      </c>
      <c r="K31" s="2638">
        <v>1.98</v>
      </c>
      <c r="L31" s="2639">
        <v>0.88</v>
      </c>
      <c r="N31" s="2622">
        <f t="shared" si="20"/>
        <v>1.8600000000000002E-2</v>
      </c>
      <c r="O31" s="2640">
        <f t="shared" si="16"/>
        <v>1.72E-2</v>
      </c>
      <c r="P31" s="2640">
        <f t="shared" si="16"/>
        <v>1.9799999999999998E-2</v>
      </c>
      <c r="Q31" s="2640">
        <f t="shared" si="16"/>
        <v>8.8000000000000005E-3</v>
      </c>
      <c r="R31" s="2624"/>
      <c r="S31" s="2622"/>
      <c r="T31" s="2623"/>
      <c r="U31" s="2623"/>
      <c r="V31" s="2623"/>
    </row>
    <row r="32" spans="1:34">
      <c r="A32" s="2614" t="s">
        <v>2581</v>
      </c>
      <c r="B32" s="2627">
        <f t="shared" si="25"/>
        <v>288.2649053828776</v>
      </c>
      <c r="C32" s="2627">
        <f t="shared" si="25"/>
        <v>243.64564425013293</v>
      </c>
      <c r="D32" s="2627">
        <f t="shared" si="18"/>
        <v>243.64564425013293</v>
      </c>
      <c r="E32" s="2627">
        <f t="shared" si="26"/>
        <v>393.31080825986544</v>
      </c>
      <c r="F32" s="2627">
        <f t="shared" si="26"/>
        <v>223.07903790551154</v>
      </c>
      <c r="G32" s="3658"/>
      <c r="H32" s="2618">
        <v>2</v>
      </c>
      <c r="I32" s="2618">
        <v>2.04</v>
      </c>
      <c r="J32" s="2618">
        <v>2.33</v>
      </c>
      <c r="K32" s="2618">
        <v>2.0699999999999998</v>
      </c>
      <c r="L32" s="2629">
        <v>0.69</v>
      </c>
      <c r="N32" s="2622">
        <f t="shared" si="20"/>
        <v>2.0400000000000001E-2</v>
      </c>
      <c r="O32" s="2640">
        <f t="shared" si="16"/>
        <v>2.3300000000000001E-2</v>
      </c>
      <c r="P32" s="2640">
        <f t="shared" si="16"/>
        <v>2.07E-2</v>
      </c>
      <c r="Q32" s="2640">
        <f t="shared" si="16"/>
        <v>6.8999999999999999E-3</v>
      </c>
      <c r="R32" s="2624"/>
      <c r="S32" s="2622"/>
      <c r="T32" s="2623"/>
      <c r="U32" s="2623"/>
      <c r="V32" s="2623"/>
      <c r="X32" s="2724"/>
      <c r="Y32" s="2726"/>
    </row>
    <row r="33" spans="1:26">
      <c r="A33" s="2614" t="s">
        <v>2582</v>
      </c>
      <c r="B33" s="2627">
        <f t="shared" si="25"/>
        <v>282.50186729015837</v>
      </c>
      <c r="C33" s="2627">
        <f t="shared" si="25"/>
        <v>238.09796174155468</v>
      </c>
      <c r="D33" s="2627">
        <f t="shared" si="18"/>
        <v>238.09796174155468</v>
      </c>
      <c r="E33" s="2627">
        <f t="shared" si="26"/>
        <v>385.33438646014054</v>
      </c>
      <c r="F33" s="2627">
        <f t="shared" si="26"/>
        <v>221.55034055567739</v>
      </c>
      <c r="G33" s="3659"/>
      <c r="H33" s="2617">
        <v>1</v>
      </c>
      <c r="I33" s="2617">
        <v>1.67</v>
      </c>
      <c r="J33" s="2617">
        <v>1.31</v>
      </c>
      <c r="K33" s="2617">
        <v>1.85</v>
      </c>
      <c r="L33" s="2628">
        <v>0.96</v>
      </c>
      <c r="N33" s="2630">
        <f t="shared" si="20"/>
        <v>1.67E-2</v>
      </c>
      <c r="O33" s="2631">
        <f t="shared" si="16"/>
        <v>1.3100000000000001E-2</v>
      </c>
      <c r="P33" s="2631">
        <f t="shared" si="16"/>
        <v>1.8500000000000003E-2</v>
      </c>
      <c r="Q33" s="2631">
        <f t="shared" si="16"/>
        <v>9.5999999999999992E-3</v>
      </c>
      <c r="R33" s="2624"/>
      <c r="S33" s="2630">
        <f>B33/B34-1</f>
        <v>1.6193767230785472E-2</v>
      </c>
      <c r="T33" s="2631">
        <f>C33/C34-1</f>
        <v>1.7512657015190891E-2</v>
      </c>
      <c r="U33" s="2631">
        <f>E33/E34-1</f>
        <v>1.6713420739157048E-2</v>
      </c>
      <c r="V33" s="2631">
        <f>F33/F34-1</f>
        <v>7.0470025258062563E-3</v>
      </c>
      <c r="X33" s="2725"/>
      <c r="Y33" s="2632"/>
      <c r="Z33" s="2632"/>
    </row>
    <row r="34" spans="1:26" ht="13.8" thickBot="1">
      <c r="A34" s="2614" t="s">
        <v>2583</v>
      </c>
      <c r="B34" s="2657">
        <v>278</v>
      </c>
      <c r="C34" s="2657">
        <v>234</v>
      </c>
      <c r="D34" s="2657">
        <f t="shared" si="18"/>
        <v>234</v>
      </c>
      <c r="E34" s="2657">
        <v>379</v>
      </c>
      <c r="F34" s="2658">
        <v>220</v>
      </c>
      <c r="G34" s="3652">
        <v>2012</v>
      </c>
      <c r="H34" s="2633">
        <v>4</v>
      </c>
      <c r="I34" s="2633">
        <v>0.91</v>
      </c>
      <c r="J34" s="2633">
        <v>0.68</v>
      </c>
      <c r="K34" s="2633">
        <v>0.98</v>
      </c>
      <c r="L34" s="2634">
        <v>0.9</v>
      </c>
      <c r="N34" s="2622">
        <f t="shared" si="20"/>
        <v>9.1000000000000004E-3</v>
      </c>
      <c r="O34" s="2623">
        <f t="shared" si="20"/>
        <v>6.8000000000000005E-3</v>
      </c>
      <c r="P34" s="2623">
        <f t="shared" si="20"/>
        <v>9.7999999999999997E-3</v>
      </c>
      <c r="Q34" s="2623">
        <f t="shared" si="20"/>
        <v>9.0000000000000011E-3</v>
      </c>
      <c r="R34" s="2624"/>
      <c r="S34" s="2625"/>
      <c r="T34" s="2626"/>
      <c r="U34" s="2626"/>
      <c r="V34" s="2626"/>
      <c r="X34" s="2626"/>
      <c r="Y34" s="2626"/>
      <c r="Z34" s="2626"/>
    </row>
    <row r="35" spans="1:26">
      <c r="A35" s="2614" t="s">
        <v>2584</v>
      </c>
      <c r="B35" s="2627">
        <f>B34/(1+N34)</f>
        <v>275.49301357645425</v>
      </c>
      <c r="C35" s="2627">
        <f>C34/(1+O34)</f>
        <v>232.41954707985698</v>
      </c>
      <c r="D35" s="2627">
        <f t="shared" si="18"/>
        <v>232.41954707985698</v>
      </c>
      <c r="E35" s="2627">
        <f t="shared" ref="E35:F37" si="27">E34/(1+P34)</f>
        <v>375.32184591008121</v>
      </c>
      <c r="F35" s="2627">
        <f t="shared" si="27"/>
        <v>218.03766105054513</v>
      </c>
      <c r="G35" s="3650"/>
      <c r="H35" s="2638">
        <v>3</v>
      </c>
      <c r="I35" s="2638">
        <v>0.09</v>
      </c>
      <c r="J35" s="2638">
        <v>0.28999999999999998</v>
      </c>
      <c r="K35" s="2638">
        <v>-0.01</v>
      </c>
      <c r="L35" s="2639">
        <v>0.57999999999999996</v>
      </c>
      <c r="N35" s="2622">
        <f t="shared" si="20"/>
        <v>8.9999999999999998E-4</v>
      </c>
      <c r="O35" s="2623">
        <f t="shared" si="20"/>
        <v>2.8999999999999998E-3</v>
      </c>
      <c r="P35" s="2623">
        <f t="shared" si="20"/>
        <v>-1E-4</v>
      </c>
      <c r="Q35" s="2623">
        <f t="shared" si="20"/>
        <v>5.7999999999999996E-3</v>
      </c>
      <c r="R35" s="2624"/>
      <c r="S35" s="2622"/>
      <c r="T35" s="2623"/>
      <c r="U35" s="2623"/>
      <c r="V35" s="2623"/>
    </row>
    <row r="36" spans="1:26">
      <c r="A36" s="2614" t="s">
        <v>2585</v>
      </c>
      <c r="B36" s="2627">
        <f>B35/(1+N35)</f>
        <v>275.24529281292263</v>
      </c>
      <c r="C36" s="2627">
        <f>C35/(1+O35)</f>
        <v>231.74747938962707</v>
      </c>
      <c r="D36" s="2627">
        <f t="shared" si="18"/>
        <v>231.74747938962707</v>
      </c>
      <c r="E36" s="2627">
        <f t="shared" si="27"/>
        <v>375.35938184826603</v>
      </c>
      <c r="F36" s="2627">
        <f t="shared" si="27"/>
        <v>216.78033510692495</v>
      </c>
      <c r="G36" s="3650"/>
      <c r="H36" s="2618">
        <v>2</v>
      </c>
      <c r="I36" s="2618">
        <v>0.02</v>
      </c>
      <c r="J36" s="2618">
        <v>0.12</v>
      </c>
      <c r="K36" s="2618">
        <v>-0.08</v>
      </c>
      <c r="L36" s="2629">
        <v>1.24</v>
      </c>
      <c r="N36" s="2622">
        <f t="shared" si="20"/>
        <v>2.0000000000000001E-4</v>
      </c>
      <c r="O36" s="2623">
        <f t="shared" si="20"/>
        <v>1.1999999999999999E-3</v>
      </c>
      <c r="P36" s="2623">
        <f t="shared" si="20"/>
        <v>-8.0000000000000004E-4</v>
      </c>
      <c r="Q36" s="2623">
        <f t="shared" si="20"/>
        <v>1.24E-2</v>
      </c>
      <c r="R36" s="2624"/>
      <c r="S36" s="2622"/>
      <c r="T36" s="2623"/>
      <c r="U36" s="2623"/>
      <c r="V36" s="2623"/>
    </row>
    <row r="37" spans="1:26" ht="13.8" thickBot="1">
      <c r="A37" s="2614" t="s">
        <v>2586</v>
      </c>
      <c r="B37" s="2627">
        <f>B36/(1+N36)</f>
        <v>275.19025476197027</v>
      </c>
      <c r="C37" s="2659">
        <v>232</v>
      </c>
      <c r="D37" s="2659">
        <f t="shared" si="18"/>
        <v>232</v>
      </c>
      <c r="E37" s="2627">
        <f t="shared" si="27"/>
        <v>375.65990977608692</v>
      </c>
      <c r="F37" s="2627">
        <f t="shared" si="27"/>
        <v>214.12518283971252</v>
      </c>
      <c r="G37" s="3653"/>
      <c r="H37" s="2617">
        <v>1</v>
      </c>
      <c r="I37" s="2617">
        <v>0.02</v>
      </c>
      <c r="J37" s="2617">
        <v>0.13</v>
      </c>
      <c r="K37" s="2617">
        <v>-0.04</v>
      </c>
      <c r="L37" s="2628">
        <v>0.46</v>
      </c>
      <c r="N37" s="2622">
        <f t="shared" si="20"/>
        <v>2.0000000000000001E-4</v>
      </c>
      <c r="O37" s="2623">
        <f t="shared" si="20"/>
        <v>1.2999999999999999E-3</v>
      </c>
      <c r="P37" s="2623">
        <f t="shared" si="20"/>
        <v>-4.0000000000000002E-4</v>
      </c>
      <c r="Q37" s="2623">
        <f t="shared" si="20"/>
        <v>4.5999999999999999E-3</v>
      </c>
      <c r="R37" s="2624"/>
      <c r="S37" s="2630">
        <f>B37/B38-1</f>
        <v>6.9183549807361189E-4</v>
      </c>
      <c r="T37" s="2631">
        <f>C37/C38-1</f>
        <v>0</v>
      </c>
      <c r="U37" s="2631">
        <f>E37/E38-1</f>
        <v>-9.0449527636460303E-4</v>
      </c>
      <c r="V37" s="2631">
        <f>F37/F38-1</f>
        <v>5.2825485432512753E-3</v>
      </c>
      <c r="X37" s="2632"/>
      <c r="Y37" s="2632"/>
      <c r="Z37" s="2632"/>
    </row>
    <row r="38" spans="1:26" ht="13.8" thickBot="1">
      <c r="A38" s="2614" t="s">
        <v>2587</v>
      </c>
      <c r="B38" s="2619">
        <v>275</v>
      </c>
      <c r="C38" s="2619">
        <v>232</v>
      </c>
      <c r="D38" s="2619">
        <f t="shared" si="18"/>
        <v>232</v>
      </c>
      <c r="E38" s="2619">
        <v>376</v>
      </c>
      <c r="F38" s="2620">
        <v>213</v>
      </c>
      <c r="G38" s="3652">
        <v>2011</v>
      </c>
      <c r="H38" s="2633">
        <v>4</v>
      </c>
      <c r="I38" s="2633">
        <v>-0.2</v>
      </c>
      <c r="J38" s="2633">
        <v>0.04</v>
      </c>
      <c r="K38" s="2633">
        <v>-0.34</v>
      </c>
      <c r="L38" s="2634">
        <v>0.46</v>
      </c>
      <c r="N38" s="2635">
        <f t="shared" si="20"/>
        <v>-2E-3</v>
      </c>
      <c r="O38" s="2636">
        <f t="shared" si="20"/>
        <v>4.0000000000000002E-4</v>
      </c>
      <c r="P38" s="2636">
        <f t="shared" si="20"/>
        <v>-3.4000000000000002E-3</v>
      </c>
      <c r="Q38" s="2636">
        <f t="shared" si="20"/>
        <v>4.5999999999999999E-3</v>
      </c>
      <c r="R38" s="2624"/>
      <c r="S38" s="2625"/>
      <c r="T38" s="2626"/>
      <c r="U38" s="2626"/>
      <c r="V38" s="2626"/>
      <c r="X38" s="2626"/>
      <c r="Y38" s="2626"/>
      <c r="Z38" s="2626"/>
    </row>
    <row r="39" spans="1:26">
      <c r="A39" s="2614" t="s">
        <v>2588</v>
      </c>
      <c r="B39" s="2627">
        <f t="shared" ref="B39:C41" si="28">B38/(1+N38)</f>
        <v>275.55110220440883</v>
      </c>
      <c r="C39" s="2627">
        <f t="shared" si="28"/>
        <v>231.90723710515795</v>
      </c>
      <c r="D39" s="2627">
        <f t="shared" si="18"/>
        <v>231.90723710515795</v>
      </c>
      <c r="E39" s="2627">
        <f t="shared" ref="E39:F41" si="29">E38/(1+P38)</f>
        <v>377.28276138872161</v>
      </c>
      <c r="F39" s="2627">
        <f t="shared" si="29"/>
        <v>212.02468644236512</v>
      </c>
      <c r="G39" s="3650">
        <v>2011</v>
      </c>
      <c r="H39" s="2638">
        <v>3</v>
      </c>
      <c r="I39" s="2638">
        <v>0.13</v>
      </c>
      <c r="J39" s="2638">
        <v>0.75</v>
      </c>
      <c r="K39" s="2638">
        <v>-0.08</v>
      </c>
      <c r="L39" s="2639">
        <v>0.53</v>
      </c>
      <c r="N39" s="2622">
        <f t="shared" si="20"/>
        <v>1.2999999999999999E-3</v>
      </c>
      <c r="O39" s="2640">
        <f t="shared" si="20"/>
        <v>7.4999999999999997E-3</v>
      </c>
      <c r="P39" s="2640">
        <f t="shared" si="20"/>
        <v>-8.0000000000000004E-4</v>
      </c>
      <c r="Q39" s="2640">
        <f t="shared" si="20"/>
        <v>5.3E-3</v>
      </c>
      <c r="R39" s="2624"/>
      <c r="S39" s="2622"/>
      <c r="T39" s="2623"/>
      <c r="U39" s="2623"/>
      <c r="V39" s="2623"/>
    </row>
    <row r="40" spans="1:26">
      <c r="A40" s="2614" t="s">
        <v>2589</v>
      </c>
      <c r="B40" s="2627">
        <f t="shared" si="28"/>
        <v>275.19335084830601</v>
      </c>
      <c r="C40" s="2627">
        <f t="shared" si="28"/>
        <v>230.18088050139744</v>
      </c>
      <c r="D40" s="2627">
        <f t="shared" si="18"/>
        <v>230.18088050139744</v>
      </c>
      <c r="E40" s="2627">
        <f t="shared" si="29"/>
        <v>377.58482925212331</v>
      </c>
      <c r="F40" s="2627">
        <f t="shared" si="29"/>
        <v>210.90687997847917</v>
      </c>
      <c r="G40" s="3650">
        <v>2011</v>
      </c>
      <c r="H40" s="2618">
        <v>2</v>
      </c>
      <c r="I40" s="2618">
        <v>-0.4</v>
      </c>
      <c r="J40" s="2618">
        <v>0.17</v>
      </c>
      <c r="K40" s="2618">
        <v>-0.57999999999999996</v>
      </c>
      <c r="L40" s="2629">
        <v>-0.2</v>
      </c>
      <c r="N40" s="2622">
        <f t="shared" si="20"/>
        <v>-4.0000000000000001E-3</v>
      </c>
      <c r="O40" s="2640">
        <f t="shared" si="20"/>
        <v>1.7000000000000001E-3</v>
      </c>
      <c r="P40" s="2640">
        <f t="shared" si="20"/>
        <v>-5.7999999999999996E-3</v>
      </c>
      <c r="Q40" s="2640">
        <f t="shared" si="20"/>
        <v>-2E-3</v>
      </c>
      <c r="R40" s="2624"/>
      <c r="S40" s="2622"/>
      <c r="T40" s="2623"/>
      <c r="U40" s="2623"/>
      <c r="V40" s="2623"/>
    </row>
    <row r="41" spans="1:26" ht="13.8" thickBot="1">
      <c r="A41" s="2614" t="s">
        <v>2590</v>
      </c>
      <c r="B41" s="2627">
        <f t="shared" si="28"/>
        <v>276.29854502841971</v>
      </c>
      <c r="C41" s="2627">
        <f t="shared" si="28"/>
        <v>229.79023709833027</v>
      </c>
      <c r="D41" s="2627">
        <f t="shared" si="18"/>
        <v>229.79023709833027</v>
      </c>
      <c r="E41" s="2627">
        <f t="shared" si="29"/>
        <v>379.78759731655936</v>
      </c>
      <c r="F41" s="2627">
        <f t="shared" si="29"/>
        <v>211.32953905659235</v>
      </c>
      <c r="G41" s="3653">
        <v>2011</v>
      </c>
      <c r="H41" s="2617">
        <v>1</v>
      </c>
      <c r="I41" s="2617">
        <v>2.65</v>
      </c>
      <c r="J41" s="2617">
        <v>3.76</v>
      </c>
      <c r="K41" s="2617">
        <v>1.89</v>
      </c>
      <c r="L41" s="2628">
        <v>7.95</v>
      </c>
      <c r="N41" s="2630">
        <f t="shared" si="20"/>
        <v>2.6499999999999999E-2</v>
      </c>
      <c r="O41" s="2631">
        <f t="shared" si="20"/>
        <v>3.7599999999999995E-2</v>
      </c>
      <c r="P41" s="2631">
        <f t="shared" si="20"/>
        <v>1.89E-2</v>
      </c>
      <c r="Q41" s="2631">
        <f t="shared" si="20"/>
        <v>7.9500000000000001E-2</v>
      </c>
      <c r="R41" s="2624"/>
      <c r="S41" s="2630">
        <f>B41/B42-1</f>
        <v>2.713213765211786E-2</v>
      </c>
      <c r="T41" s="2631">
        <f>C41/C42-1</f>
        <v>3.9774828499231862E-2</v>
      </c>
      <c r="U41" s="2631">
        <f>E41/E42-1</f>
        <v>1.8197311840641772E-2</v>
      </c>
      <c r="V41" s="2631">
        <f>F41/F42-1</f>
        <v>7.8211933962205826E-2</v>
      </c>
      <c r="X41" s="2632"/>
      <c r="Y41" s="2632"/>
      <c r="Z41" s="2632"/>
    </row>
    <row r="42" spans="1:26" ht="13.8" thickBot="1">
      <c r="A42" s="2614" t="s">
        <v>2591</v>
      </c>
      <c r="B42" s="2619">
        <v>269</v>
      </c>
      <c r="C42" s="2619">
        <v>221</v>
      </c>
      <c r="D42" s="2619">
        <f t="shared" si="18"/>
        <v>221</v>
      </c>
      <c r="E42" s="2619">
        <v>373</v>
      </c>
      <c r="F42" s="2620">
        <v>196</v>
      </c>
      <c r="G42" s="3652">
        <v>2010</v>
      </c>
      <c r="H42" s="2633">
        <v>4</v>
      </c>
      <c r="I42" s="2633">
        <v>5.72</v>
      </c>
      <c r="J42" s="2633">
        <v>6.57</v>
      </c>
      <c r="K42" s="2633">
        <v>5.72</v>
      </c>
      <c r="L42" s="2634">
        <v>2.72</v>
      </c>
      <c r="N42" s="2622">
        <f t="shared" si="20"/>
        <v>5.7200000000000001E-2</v>
      </c>
      <c r="O42" s="2623">
        <f t="shared" si="20"/>
        <v>6.5700000000000008E-2</v>
      </c>
      <c r="P42" s="2623">
        <f t="shared" si="20"/>
        <v>5.7200000000000001E-2</v>
      </c>
      <c r="Q42" s="2623">
        <f t="shared" si="20"/>
        <v>2.7200000000000002E-2</v>
      </c>
      <c r="R42" s="2624"/>
      <c r="S42" s="2625"/>
      <c r="T42" s="2626"/>
      <c r="U42" s="2626"/>
      <c r="V42" s="2626"/>
      <c r="X42" s="2626"/>
      <c r="Y42" s="2626"/>
      <c r="Z42" s="2626"/>
    </row>
    <row r="43" spans="1:26">
      <c r="A43" s="2614" t="s">
        <v>2592</v>
      </c>
      <c r="B43" s="2627">
        <f t="shared" ref="B43:C45" si="30">B42/(1+N42)</f>
        <v>254.44570563753314</v>
      </c>
      <c r="C43" s="2627">
        <f t="shared" si="30"/>
        <v>207.37543398705074</v>
      </c>
      <c r="D43" s="2627">
        <f t="shared" si="18"/>
        <v>207.37543398705074</v>
      </c>
      <c r="E43" s="2627">
        <f t="shared" ref="E43:F45" si="31">E42/(1+P42)</f>
        <v>352.81876655315932</v>
      </c>
      <c r="F43" s="2627">
        <f t="shared" si="31"/>
        <v>190.809968847352</v>
      </c>
      <c r="G43" s="3650">
        <v>2010</v>
      </c>
      <c r="H43" s="2638">
        <v>3</v>
      </c>
      <c r="I43" s="2638">
        <v>4.7300000000000004</v>
      </c>
      <c r="J43" s="2638">
        <v>3.9</v>
      </c>
      <c r="K43" s="2638">
        <v>5.03</v>
      </c>
      <c r="L43" s="2639">
        <v>4.21</v>
      </c>
      <c r="N43" s="2622">
        <f t="shared" si="20"/>
        <v>4.7300000000000002E-2</v>
      </c>
      <c r="O43" s="2623">
        <f t="shared" si="20"/>
        <v>3.9E-2</v>
      </c>
      <c r="P43" s="2623">
        <f t="shared" si="20"/>
        <v>5.0300000000000004E-2</v>
      </c>
      <c r="Q43" s="2623">
        <f t="shared" si="20"/>
        <v>4.2099999999999999E-2</v>
      </c>
      <c r="R43" s="2624"/>
      <c r="S43" s="2622"/>
      <c r="T43" s="2623"/>
      <c r="U43" s="2623"/>
      <c r="V43" s="2623"/>
    </row>
    <row r="44" spans="1:26">
      <c r="A44" s="2614" t="s">
        <v>2593</v>
      </c>
      <c r="B44" s="2627">
        <f t="shared" si="30"/>
        <v>242.95398227588385</v>
      </c>
      <c r="C44" s="2627">
        <f t="shared" si="30"/>
        <v>199.59137053614126</v>
      </c>
      <c r="D44" s="2627">
        <f t="shared" si="18"/>
        <v>199.59137053614126</v>
      </c>
      <c r="E44" s="2627">
        <f t="shared" si="31"/>
        <v>335.92189522342125</v>
      </c>
      <c r="F44" s="2627">
        <f t="shared" si="31"/>
        <v>183.10139991109489</v>
      </c>
      <c r="G44" s="3650">
        <v>2010</v>
      </c>
      <c r="H44" s="2618">
        <v>2</v>
      </c>
      <c r="I44" s="2618">
        <v>4.6900000000000004</v>
      </c>
      <c r="J44" s="2618">
        <v>3.55</v>
      </c>
      <c r="K44" s="2618">
        <v>5.07</v>
      </c>
      <c r="L44" s="2629">
        <v>4.2300000000000004</v>
      </c>
      <c r="N44" s="2622">
        <f t="shared" si="20"/>
        <v>4.6900000000000004E-2</v>
      </c>
      <c r="O44" s="2623">
        <f t="shared" si="20"/>
        <v>3.5499999999999997E-2</v>
      </c>
      <c r="P44" s="2623">
        <f t="shared" si="20"/>
        <v>5.0700000000000002E-2</v>
      </c>
      <c r="Q44" s="2623">
        <f t="shared" si="20"/>
        <v>4.2300000000000004E-2</v>
      </c>
      <c r="R44" s="2624"/>
      <c r="S44" s="2622"/>
      <c r="T44" s="2623"/>
      <c r="U44" s="2623"/>
      <c r="V44" s="2623"/>
    </row>
    <row r="45" spans="1:26" ht="13.8" thickBot="1">
      <c r="A45" s="2614" t="s">
        <v>2594</v>
      </c>
      <c r="B45" s="2627">
        <f t="shared" si="30"/>
        <v>232.06990378821649</v>
      </c>
      <c r="C45" s="2627">
        <f t="shared" si="30"/>
        <v>192.74878854286936</v>
      </c>
      <c r="D45" s="2627">
        <f t="shared" si="18"/>
        <v>192.74878854286936</v>
      </c>
      <c r="E45" s="2627">
        <f t="shared" si="31"/>
        <v>319.71247284992984</v>
      </c>
      <c r="F45" s="2627">
        <f t="shared" si="31"/>
        <v>175.67053622862409</v>
      </c>
      <c r="G45" s="3653">
        <v>2010</v>
      </c>
      <c r="H45" s="2617">
        <v>1</v>
      </c>
      <c r="I45" s="2617">
        <v>5.4</v>
      </c>
      <c r="J45" s="2617">
        <v>3.2</v>
      </c>
      <c r="K45" s="2617">
        <v>6.16</v>
      </c>
      <c r="L45" s="2628">
        <v>4.51</v>
      </c>
      <c r="N45" s="2622">
        <f t="shared" si="20"/>
        <v>5.4000000000000006E-2</v>
      </c>
      <c r="O45" s="2623">
        <f t="shared" si="20"/>
        <v>3.2000000000000001E-2</v>
      </c>
      <c r="P45" s="2623">
        <f t="shared" si="20"/>
        <v>6.1600000000000002E-2</v>
      </c>
      <c r="Q45" s="2623">
        <f t="shared" si="20"/>
        <v>4.5100000000000001E-2</v>
      </c>
      <c r="R45" s="2624"/>
      <c r="S45" s="2630">
        <f>B45/B46-1</f>
        <v>5.4863199037347599E-2</v>
      </c>
      <c r="T45" s="2631">
        <f>C45/C46-1</f>
        <v>3.0742184721226584E-2</v>
      </c>
      <c r="U45" s="2631">
        <f>E45/E46-1</f>
        <v>6.2167683886810154E-2</v>
      </c>
      <c r="V45" s="2631">
        <f>F45/F46-1</f>
        <v>4.5657953741810031E-2</v>
      </c>
      <c r="X45" s="2632"/>
      <c r="Y45" s="2632"/>
      <c r="Z45" s="2632"/>
    </row>
    <row r="46" spans="1:26" ht="13.8" thickBot="1">
      <c r="A46" s="2614" t="s">
        <v>2595</v>
      </c>
      <c r="B46" s="2619">
        <v>220</v>
      </c>
      <c r="C46" s="2619">
        <v>187</v>
      </c>
      <c r="D46" s="2619">
        <f t="shared" si="18"/>
        <v>187</v>
      </c>
      <c r="E46" s="2619">
        <v>301</v>
      </c>
      <c r="F46" s="2620">
        <v>168</v>
      </c>
      <c r="G46" s="3652">
        <v>2009</v>
      </c>
      <c r="H46" s="2633">
        <v>4</v>
      </c>
      <c r="I46" s="2633">
        <v>2.2999999999999998</v>
      </c>
      <c r="J46" s="2633">
        <v>1.04</v>
      </c>
      <c r="K46" s="2633">
        <v>2.84</v>
      </c>
      <c r="L46" s="2634">
        <v>0.67</v>
      </c>
      <c r="N46" s="2635">
        <f t="shared" si="20"/>
        <v>2.3E-2</v>
      </c>
      <c r="O46" s="2636">
        <f t="shared" si="20"/>
        <v>1.04E-2</v>
      </c>
      <c r="P46" s="2636">
        <f t="shared" si="20"/>
        <v>2.8399999999999998E-2</v>
      </c>
      <c r="Q46" s="2636">
        <f t="shared" si="20"/>
        <v>6.7000000000000002E-3</v>
      </c>
      <c r="R46" s="2624"/>
      <c r="S46" s="2625"/>
      <c r="T46" s="2626"/>
      <c r="U46" s="2626"/>
      <c r="V46" s="2626"/>
      <c r="X46" s="2626"/>
      <c r="Y46" s="2626"/>
      <c r="Z46" s="2626"/>
    </row>
    <row r="47" spans="1:26">
      <c r="A47" s="2614" t="s">
        <v>2596</v>
      </c>
      <c r="B47" s="2627">
        <f t="shared" ref="B47:C49" si="32">B46/(1+N46)</f>
        <v>215.05376344086022</v>
      </c>
      <c r="C47" s="2627">
        <f t="shared" si="32"/>
        <v>185.0752177355503</v>
      </c>
      <c r="D47" s="2627">
        <f t="shared" si="18"/>
        <v>185.0752177355503</v>
      </c>
      <c r="E47" s="2627">
        <f t="shared" ref="E47:F49" si="33">E46/(1+P46)</f>
        <v>292.68767016725008</v>
      </c>
      <c r="F47" s="2627">
        <f t="shared" si="33"/>
        <v>166.88189132810174</v>
      </c>
      <c r="G47" s="3650">
        <v>2009</v>
      </c>
      <c r="H47" s="2638">
        <v>3</v>
      </c>
      <c r="I47" s="2638">
        <v>2.1</v>
      </c>
      <c r="J47" s="2638">
        <v>1.86</v>
      </c>
      <c r="K47" s="2638">
        <v>2.29</v>
      </c>
      <c r="L47" s="2639">
        <v>0.85</v>
      </c>
      <c r="N47" s="2622">
        <f t="shared" si="20"/>
        <v>2.1000000000000001E-2</v>
      </c>
      <c r="O47" s="2640">
        <f t="shared" si="20"/>
        <v>1.8600000000000002E-2</v>
      </c>
      <c r="P47" s="2640">
        <f t="shared" si="20"/>
        <v>2.29E-2</v>
      </c>
      <c r="Q47" s="2640">
        <f t="shared" si="20"/>
        <v>8.5000000000000006E-3</v>
      </c>
      <c r="R47" s="2624"/>
      <c r="S47" s="2622"/>
      <c r="T47" s="2623"/>
      <c r="U47" s="2623"/>
      <c r="V47" s="2623"/>
    </row>
    <row r="48" spans="1:26">
      <c r="A48" s="2614" t="s">
        <v>2597</v>
      </c>
      <c r="B48" s="2627">
        <f t="shared" si="32"/>
        <v>210.630522469011</v>
      </c>
      <c r="C48" s="2627">
        <f t="shared" si="32"/>
        <v>181.69567812247232</v>
      </c>
      <c r="D48" s="2627">
        <f t="shared" si="18"/>
        <v>181.69567812247232</v>
      </c>
      <c r="E48" s="2627">
        <f t="shared" si="33"/>
        <v>286.13517466736738</v>
      </c>
      <c r="F48" s="2627">
        <f t="shared" si="33"/>
        <v>165.47535084591149</v>
      </c>
      <c r="G48" s="3650">
        <v>2009</v>
      </c>
      <c r="H48" s="2618">
        <v>2</v>
      </c>
      <c r="I48" s="2618">
        <v>0.86</v>
      </c>
      <c r="J48" s="2618">
        <v>-1.1299999999999999</v>
      </c>
      <c r="K48" s="2618">
        <v>1.79</v>
      </c>
      <c r="L48" s="2629">
        <v>-2.0699999999999998</v>
      </c>
      <c r="N48" s="2622">
        <f t="shared" si="20"/>
        <v>8.6E-3</v>
      </c>
      <c r="O48" s="2640">
        <f t="shared" si="20"/>
        <v>-1.1299999999999999E-2</v>
      </c>
      <c r="P48" s="2640">
        <f t="shared" si="20"/>
        <v>1.7899999999999999E-2</v>
      </c>
      <c r="Q48" s="2640">
        <f t="shared" si="20"/>
        <v>-2.07E-2</v>
      </c>
      <c r="R48" s="2624"/>
      <c r="S48" s="2622"/>
      <c r="T48" s="2623"/>
      <c r="U48" s="2623"/>
      <c r="V48" s="2623"/>
    </row>
    <row r="49" spans="1:26">
      <c r="A49" s="2614" t="s">
        <v>2598</v>
      </c>
      <c r="B49" s="2627">
        <f t="shared" si="32"/>
        <v>208.83454537875372</v>
      </c>
      <c r="C49" s="2627">
        <f t="shared" si="32"/>
        <v>183.77230517090351</v>
      </c>
      <c r="D49" s="2627">
        <f t="shared" si="18"/>
        <v>183.77230517090351</v>
      </c>
      <c r="E49" s="2627">
        <f t="shared" si="33"/>
        <v>281.10342338870947</v>
      </c>
      <c r="F49" s="2627">
        <f t="shared" si="33"/>
        <v>168.97309388942256</v>
      </c>
      <c r="G49" s="3653">
        <v>2009</v>
      </c>
      <c r="H49" s="2617">
        <v>1</v>
      </c>
      <c r="I49" s="2617">
        <v>-2.64</v>
      </c>
      <c r="J49" s="2617">
        <v>-2.5299999999999998</v>
      </c>
      <c r="K49" s="2617">
        <v>-3.02</v>
      </c>
      <c r="L49" s="2628">
        <v>1.52</v>
      </c>
      <c r="N49" s="2630">
        <f t="shared" si="20"/>
        <v>-2.64E-2</v>
      </c>
      <c r="O49" s="2631">
        <f t="shared" si="20"/>
        <v>-2.53E-2</v>
      </c>
      <c r="P49" s="2631">
        <f t="shared" si="20"/>
        <v>-3.0200000000000001E-2</v>
      </c>
      <c r="Q49" s="2631">
        <f t="shared" si="20"/>
        <v>1.52E-2</v>
      </c>
      <c r="R49" s="2624"/>
      <c r="S49" s="2630">
        <f>B49/B50-1</f>
        <v>-2.4137638417038754E-2</v>
      </c>
      <c r="T49" s="2631">
        <f>C49/C50-1</f>
        <v>-2.248773845264096E-2</v>
      </c>
      <c r="U49" s="2631">
        <f>E49/E50-1</f>
        <v>-2.7323794502735366E-2</v>
      </c>
      <c r="V49" s="2631">
        <f>F49/F50-1</f>
        <v>1.7910204153148035E-2</v>
      </c>
      <c r="X49" s="2632"/>
      <c r="Y49" s="2632"/>
      <c r="Z49" s="2632"/>
    </row>
    <row r="50" spans="1:26" ht="13.8" thickBot="1">
      <c r="A50" s="2614" t="s">
        <v>2599</v>
      </c>
      <c r="B50" s="2657">
        <v>214</v>
      </c>
      <c r="C50" s="2657">
        <v>188</v>
      </c>
      <c r="D50" s="2657">
        <f t="shared" si="18"/>
        <v>188</v>
      </c>
      <c r="E50" s="2657">
        <v>289</v>
      </c>
      <c r="F50" s="2658">
        <v>166</v>
      </c>
      <c r="G50" s="3652">
        <v>2008</v>
      </c>
      <c r="H50" s="2633">
        <v>4</v>
      </c>
      <c r="I50" s="2633">
        <v>1.73</v>
      </c>
      <c r="J50" s="2633">
        <v>0.03</v>
      </c>
      <c r="K50" s="2633">
        <v>2.59</v>
      </c>
      <c r="L50" s="2634">
        <v>-1.66</v>
      </c>
      <c r="N50" s="2622">
        <f t="shared" si="20"/>
        <v>1.7299999999999999E-2</v>
      </c>
      <c r="O50" s="2623">
        <f t="shared" si="20"/>
        <v>2.9999999999999997E-4</v>
      </c>
      <c r="P50" s="2623">
        <f t="shared" si="20"/>
        <v>2.5899999999999999E-2</v>
      </c>
      <c r="Q50" s="2623">
        <f t="shared" si="20"/>
        <v>-1.66E-2</v>
      </c>
      <c r="R50" s="2624"/>
      <c r="S50" s="2625"/>
      <c r="T50" s="2626"/>
      <c r="U50" s="2626"/>
      <c r="V50" s="2626"/>
      <c r="X50" s="2626"/>
      <c r="Y50" s="2626"/>
      <c r="Z50" s="2626"/>
    </row>
    <row r="51" spans="1:26">
      <c r="A51" s="2614" t="s">
        <v>2600</v>
      </c>
      <c r="B51" s="2627">
        <f t="shared" ref="B51:C53" si="34">B50/(1+N50)</f>
        <v>210.36075887152265</v>
      </c>
      <c r="C51" s="2627">
        <f t="shared" si="34"/>
        <v>187.94361691492554</v>
      </c>
      <c r="D51" s="2627">
        <f t="shared" si="18"/>
        <v>187.94361691492554</v>
      </c>
      <c r="E51" s="2627">
        <f t="shared" ref="E51:F53" si="35">E50/(1+P50)</f>
        <v>281.70386977288234</v>
      </c>
      <c r="F51" s="2627">
        <f t="shared" si="35"/>
        <v>168.80211511083994</v>
      </c>
      <c r="G51" s="3650">
        <v>2008</v>
      </c>
      <c r="H51" s="2638">
        <v>3</v>
      </c>
      <c r="I51" s="2638">
        <v>1.96</v>
      </c>
      <c r="J51" s="2638">
        <v>2.36</v>
      </c>
      <c r="K51" s="2638">
        <v>1.82</v>
      </c>
      <c r="L51" s="2639">
        <v>2.2200000000000002</v>
      </c>
      <c r="N51" s="2622">
        <f t="shared" si="20"/>
        <v>1.9599999999999999E-2</v>
      </c>
      <c r="O51" s="2623">
        <f t="shared" si="20"/>
        <v>2.3599999999999999E-2</v>
      </c>
      <c r="P51" s="2623">
        <f t="shared" si="20"/>
        <v>1.8200000000000001E-2</v>
      </c>
      <c r="Q51" s="2623">
        <f t="shared" si="20"/>
        <v>2.2200000000000001E-2</v>
      </c>
      <c r="R51" s="2624"/>
      <c r="S51" s="2622"/>
      <c r="T51" s="2623"/>
      <c r="U51" s="2623"/>
      <c r="V51" s="2623"/>
    </row>
    <row r="52" spans="1:26">
      <c r="A52" s="2614" t="s">
        <v>2601</v>
      </c>
      <c r="B52" s="2627">
        <f t="shared" si="34"/>
        <v>206.31694671589116</v>
      </c>
      <c r="C52" s="2627">
        <f t="shared" si="34"/>
        <v>183.61041121036101</v>
      </c>
      <c r="D52" s="2627">
        <f t="shared" si="18"/>
        <v>183.61041121036101</v>
      </c>
      <c r="E52" s="2627">
        <f t="shared" si="35"/>
        <v>276.66850301795557</v>
      </c>
      <c r="F52" s="2627">
        <f t="shared" si="35"/>
        <v>165.1360938278614</v>
      </c>
      <c r="G52" s="3650">
        <v>2008</v>
      </c>
      <c r="H52" s="2618">
        <v>2</v>
      </c>
      <c r="I52" s="2618">
        <v>4.93</v>
      </c>
      <c r="J52" s="2618">
        <v>7.38</v>
      </c>
      <c r="K52" s="2618">
        <v>3.98</v>
      </c>
      <c r="L52" s="2629">
        <v>6.86</v>
      </c>
      <c r="N52" s="2622">
        <f t="shared" si="20"/>
        <v>4.9299999999999997E-2</v>
      </c>
      <c r="O52" s="2623">
        <f t="shared" si="20"/>
        <v>7.3800000000000004E-2</v>
      </c>
      <c r="P52" s="2623">
        <f t="shared" si="20"/>
        <v>3.9800000000000002E-2</v>
      </c>
      <c r="Q52" s="2623">
        <f t="shared" si="20"/>
        <v>6.8600000000000008E-2</v>
      </c>
      <c r="R52" s="2624"/>
      <c r="S52" s="2622"/>
      <c r="T52" s="2623"/>
      <c r="U52" s="2623"/>
      <c r="V52" s="2623"/>
    </row>
    <row r="53" spans="1:26" s="2663" customFormat="1" ht="13.8" thickBot="1">
      <c r="A53" s="2614" t="s">
        <v>2602</v>
      </c>
      <c r="B53" s="2660">
        <f t="shared" si="34"/>
        <v>196.62341248059772</v>
      </c>
      <c r="C53" s="2660">
        <f t="shared" si="34"/>
        <v>170.99125648199012</v>
      </c>
      <c r="D53" s="2660">
        <f t="shared" si="18"/>
        <v>170.99125648199012</v>
      </c>
      <c r="E53" s="2660">
        <f t="shared" si="35"/>
        <v>266.07857570490052</v>
      </c>
      <c r="F53" s="2660">
        <f t="shared" si="35"/>
        <v>154.53499328828505</v>
      </c>
      <c r="G53" s="3653">
        <v>2008</v>
      </c>
      <c r="H53" s="2661">
        <v>1</v>
      </c>
      <c r="I53" s="2661">
        <v>4.1399999999999997</v>
      </c>
      <c r="J53" s="2661">
        <v>3.45</v>
      </c>
      <c r="K53" s="2661">
        <v>4.95</v>
      </c>
      <c r="L53" s="2662">
        <v>4.82</v>
      </c>
      <c r="N53" s="2664">
        <f t="shared" si="20"/>
        <v>4.1399999999999999E-2</v>
      </c>
      <c r="O53" s="2665">
        <f t="shared" si="20"/>
        <v>3.4500000000000003E-2</v>
      </c>
      <c r="P53" s="2665">
        <f t="shared" si="20"/>
        <v>4.9500000000000002E-2</v>
      </c>
      <c r="Q53" s="2665">
        <f t="shared" si="20"/>
        <v>4.82E-2</v>
      </c>
      <c r="R53" s="2666"/>
      <c r="S53" s="2664">
        <f>B53/B54-1</f>
        <v>4.5869215322328349E-2</v>
      </c>
      <c r="T53" s="2665">
        <f>C53/C54-1</f>
        <v>3.6310645345394743E-2</v>
      </c>
      <c r="U53" s="2665">
        <f>E53/E54-1</f>
        <v>4.7553447657088688E-2</v>
      </c>
      <c r="V53" s="2665">
        <f>F53/F54-1</f>
        <v>4.4155360055980086E-2</v>
      </c>
      <c r="X53" s="2667"/>
      <c r="Y53" s="2667"/>
      <c r="Z53" s="2667"/>
    </row>
    <row r="54" spans="1:26" ht="13.8" thickBot="1">
      <c r="A54" s="2614" t="s">
        <v>2603</v>
      </c>
      <c r="B54" s="2619">
        <v>188</v>
      </c>
      <c r="C54" s="2619">
        <v>165</v>
      </c>
      <c r="D54" s="2619">
        <f t="shared" si="18"/>
        <v>165</v>
      </c>
      <c r="E54" s="2619">
        <v>254</v>
      </c>
      <c r="F54" s="2620">
        <v>148</v>
      </c>
      <c r="G54" s="3652">
        <v>2007</v>
      </c>
      <c r="H54" s="2668">
        <v>4</v>
      </c>
      <c r="I54" s="2668">
        <v>5.51</v>
      </c>
      <c r="J54" s="2668">
        <v>4.8899999999999997</v>
      </c>
      <c r="K54" s="2668">
        <v>6.43</v>
      </c>
      <c r="L54" s="2669">
        <v>5.36</v>
      </c>
      <c r="N54" s="2670">
        <f t="shared" ref="N54:O57" si="36">B54/B55-1</f>
        <v>4.1339718365245526E-2</v>
      </c>
      <c r="O54" s="2671">
        <f t="shared" si="36"/>
        <v>4.0324492593776018E-2</v>
      </c>
      <c r="P54" s="2671">
        <f t="shared" ref="P54:Q57" si="37">E54/E55-1</f>
        <v>6.1625555347990968E-2</v>
      </c>
      <c r="Q54" s="2671">
        <f t="shared" si="37"/>
        <v>4.6757569250590603E-2</v>
      </c>
      <c r="R54" s="2624"/>
      <c r="S54" s="2625"/>
      <c r="T54" s="2626"/>
      <c r="U54" s="2626"/>
      <c r="V54" s="2626"/>
      <c r="X54" s="2626"/>
      <c r="Y54" s="2626"/>
      <c r="Z54" s="2626"/>
    </row>
    <row r="55" spans="1:26">
      <c r="A55" s="2614" t="s">
        <v>2604</v>
      </c>
      <c r="B55" s="2627">
        <f t="shared" ref="B55:C57" si="38">B56+(B$54-B$58)*I55/SUM(I$54:I$57)</f>
        <v>180.5366651097618</v>
      </c>
      <c r="C55" s="2627">
        <f t="shared" si="38"/>
        <v>158.60435967302453</v>
      </c>
      <c r="D55" s="2627">
        <f t="shared" si="18"/>
        <v>158.60435967302453</v>
      </c>
      <c r="E55" s="2627">
        <f t="shared" ref="E55:F57" si="39">E56+(E$54-E$58)*K55/SUM(K$54:K$57)</f>
        <v>239.25573260785075</v>
      </c>
      <c r="F55" s="2627">
        <f t="shared" si="39"/>
        <v>141.38899430740037</v>
      </c>
      <c r="G55" s="3650">
        <v>2007</v>
      </c>
      <c r="H55" s="2638">
        <v>3</v>
      </c>
      <c r="I55" s="2638">
        <v>8.65</v>
      </c>
      <c r="J55" s="2638">
        <v>8.06</v>
      </c>
      <c r="K55" s="2638">
        <v>9.94</v>
      </c>
      <c r="L55" s="2639">
        <v>5.8</v>
      </c>
      <c r="N55" s="2670">
        <f t="shared" si="36"/>
        <v>6.940217571740015E-2</v>
      </c>
      <c r="O55" s="2671">
        <f t="shared" si="36"/>
        <v>7.1197482471153428E-2</v>
      </c>
      <c r="P55" s="2671">
        <f t="shared" si="37"/>
        <v>0.10529679922579582</v>
      </c>
      <c r="Q55" s="2671">
        <f t="shared" si="37"/>
        <v>5.3292245059512133E-2</v>
      </c>
      <c r="R55" s="2624"/>
      <c r="S55" s="2622"/>
      <c r="T55" s="2623"/>
      <c r="U55" s="2623"/>
      <c r="V55" s="2623"/>
      <c r="X55" s="2672"/>
      <c r="Y55" s="2672"/>
      <c r="Z55" s="2672"/>
    </row>
    <row r="56" spans="1:26">
      <c r="A56" s="2614" t="s">
        <v>2605</v>
      </c>
      <c r="B56" s="2627">
        <f t="shared" si="38"/>
        <v>168.82017748715555</v>
      </c>
      <c r="C56" s="2627">
        <f t="shared" si="38"/>
        <v>148.06267029972753</v>
      </c>
      <c r="D56" s="2627">
        <f t="shared" si="18"/>
        <v>148.06267029972753</v>
      </c>
      <c r="E56" s="2627">
        <f t="shared" si="39"/>
        <v>216.46288379323747</v>
      </c>
      <c r="F56" s="2627">
        <f t="shared" si="39"/>
        <v>134.23529411764704</v>
      </c>
      <c r="G56" s="3650">
        <v>2007</v>
      </c>
      <c r="H56" s="2618">
        <v>2</v>
      </c>
      <c r="I56" s="2618">
        <v>3.67</v>
      </c>
      <c r="J56" s="2618">
        <v>2.3199999999999998</v>
      </c>
      <c r="K56" s="2618">
        <v>5.0199999999999996</v>
      </c>
      <c r="L56" s="2629">
        <v>6.71</v>
      </c>
      <c r="N56" s="2670">
        <f t="shared" si="36"/>
        <v>3.0339138143848032E-2</v>
      </c>
      <c r="O56" s="2671">
        <f t="shared" si="36"/>
        <v>2.0922341588790472E-2</v>
      </c>
      <c r="P56" s="2671">
        <f t="shared" si="37"/>
        <v>5.6164796592717003E-2</v>
      </c>
      <c r="Q56" s="2671">
        <f t="shared" si="37"/>
        <v>6.5704536723887319E-2</v>
      </c>
      <c r="R56" s="2624"/>
      <c r="S56" s="2622"/>
      <c r="T56" s="2623"/>
      <c r="U56" s="2623"/>
      <c r="V56" s="2623"/>
      <c r="X56" s="2672"/>
      <c r="Y56" s="2672"/>
      <c r="Z56" s="2672"/>
    </row>
    <row r="57" spans="1:26">
      <c r="A57" s="2614" t="s">
        <v>2606</v>
      </c>
      <c r="B57" s="2627">
        <f t="shared" si="38"/>
        <v>163.84913591779542</v>
      </c>
      <c r="C57" s="2627">
        <f t="shared" si="38"/>
        <v>145.0283378746594</v>
      </c>
      <c r="D57" s="2627">
        <f t="shared" si="18"/>
        <v>145.0283378746594</v>
      </c>
      <c r="E57" s="2627">
        <f t="shared" si="39"/>
        <v>204.95180722891567</v>
      </c>
      <c r="F57" s="2627">
        <f t="shared" si="39"/>
        <v>125.95920303605313</v>
      </c>
      <c r="G57" s="3653">
        <v>2007</v>
      </c>
      <c r="H57" s="2617">
        <v>1</v>
      </c>
      <c r="I57" s="2617">
        <v>3.58</v>
      </c>
      <c r="J57" s="2617">
        <v>3.08</v>
      </c>
      <c r="K57" s="2617">
        <v>4.34</v>
      </c>
      <c r="L57" s="2628">
        <v>3.21</v>
      </c>
      <c r="N57" s="2673">
        <f t="shared" si="36"/>
        <v>3.0497710174814063E-2</v>
      </c>
      <c r="O57" s="2674">
        <f t="shared" si="36"/>
        <v>2.8569772160704998E-2</v>
      </c>
      <c r="P57" s="2674">
        <f t="shared" si="37"/>
        <v>5.1034908866234296E-2</v>
      </c>
      <c r="Q57" s="2674">
        <f t="shared" si="37"/>
        <v>3.245248390207478E-2</v>
      </c>
      <c r="R57" s="2624"/>
      <c r="S57" s="2630">
        <f>B57/B58-1</f>
        <v>3.0497710174814063E-2</v>
      </c>
      <c r="T57" s="2631">
        <f>C57/C58-1</f>
        <v>2.8569772160704998E-2</v>
      </c>
      <c r="U57" s="2631">
        <f>E57/E58-1</f>
        <v>5.1034908866234296E-2</v>
      </c>
      <c r="V57" s="2631">
        <f>F57/F58-1</f>
        <v>3.245248390207478E-2</v>
      </c>
      <c r="X57" s="2672"/>
      <c r="Y57" s="2672"/>
      <c r="Z57" s="2672"/>
    </row>
    <row r="58" spans="1:26" ht="13.8" thickBot="1">
      <c r="A58" s="2614" t="s">
        <v>2607</v>
      </c>
      <c r="B58" s="2641">
        <v>159</v>
      </c>
      <c r="C58" s="2641">
        <v>141</v>
      </c>
      <c r="D58" s="2641">
        <f t="shared" si="18"/>
        <v>141</v>
      </c>
      <c r="E58" s="2641">
        <v>195</v>
      </c>
      <c r="F58" s="2642">
        <v>122</v>
      </c>
      <c r="G58" s="3652">
        <v>2006</v>
      </c>
      <c r="H58" s="2633">
        <v>4</v>
      </c>
      <c r="I58" s="2633">
        <v>3.79</v>
      </c>
      <c r="J58" s="2633">
        <v>2.21</v>
      </c>
      <c r="K58" s="2633">
        <v>5.65</v>
      </c>
      <c r="L58" s="2634">
        <v>5.41</v>
      </c>
      <c r="N58" s="2670">
        <f t="shared" ref="N58:O61" si="40">I58/SUM(I$58:I$61)*(B$58/B$62-1)</f>
        <v>7.245466462748526E-2</v>
      </c>
      <c r="O58" s="2671">
        <f t="shared" si="40"/>
        <v>2.3237230038062766E-2</v>
      </c>
      <c r="P58" s="2671">
        <f t="shared" ref="P58:Q61" si="41">K58/SUM(K$58:K$61)*(E$58/E$62-1)</f>
        <v>0.16146893866323722</v>
      </c>
      <c r="Q58" s="2671">
        <f t="shared" si="41"/>
        <v>5.0755230321793784E-2</v>
      </c>
      <c r="R58" s="2624"/>
      <c r="S58" s="2625"/>
      <c r="T58" s="2626"/>
      <c r="U58" s="2626"/>
      <c r="V58" s="2626"/>
      <c r="X58" s="2672"/>
      <c r="Y58" s="2672"/>
      <c r="Z58" s="2672"/>
    </row>
    <row r="59" spans="1:26">
      <c r="A59" s="2614" t="s">
        <v>2608</v>
      </c>
      <c r="B59" s="2627">
        <f t="shared" ref="B59:C61" si="42">B60+(B$58-B$62)*I59/SUM(I$58:I$61)</f>
        <v>149.00125628140702</v>
      </c>
      <c r="C59" s="2627">
        <f t="shared" si="42"/>
        <v>137.95592286501378</v>
      </c>
      <c r="D59" s="2627">
        <f t="shared" si="18"/>
        <v>137.95592286501378</v>
      </c>
      <c r="E59" s="2627">
        <f t="shared" ref="E59:F61" si="43">E60+(E$58-E$62)*K59/SUM(K$58:K$61)</f>
        <v>169.97231450719823</v>
      </c>
      <c r="F59" s="2627">
        <f t="shared" si="43"/>
        <v>116.21390374331551</v>
      </c>
      <c r="G59" s="3650">
        <v>2006</v>
      </c>
      <c r="H59" s="2638">
        <v>3</v>
      </c>
      <c r="I59" s="2638">
        <v>0.92</v>
      </c>
      <c r="J59" s="2638">
        <v>1.08</v>
      </c>
      <c r="K59" s="2638">
        <v>0.73</v>
      </c>
      <c r="L59" s="2639">
        <v>1.08</v>
      </c>
      <c r="N59" s="2670">
        <f t="shared" si="40"/>
        <v>1.7587939698492462E-2</v>
      </c>
      <c r="O59" s="2671">
        <f t="shared" si="40"/>
        <v>1.1355750425840628E-2</v>
      </c>
      <c r="P59" s="2671">
        <f t="shared" si="41"/>
        <v>2.0862358446754544E-2</v>
      </c>
      <c r="Q59" s="2671">
        <f t="shared" si="41"/>
        <v>1.0132282578103011E-2</v>
      </c>
      <c r="R59" s="2624"/>
      <c r="S59" s="2622"/>
      <c r="T59" s="2623"/>
      <c r="U59" s="2623"/>
      <c r="V59" s="2623"/>
      <c r="X59" s="2672"/>
      <c r="Y59" s="2672"/>
      <c r="Z59" s="2672"/>
    </row>
    <row r="60" spans="1:26">
      <c r="A60" s="2614" t="s">
        <v>2609</v>
      </c>
      <c r="B60" s="2627">
        <f t="shared" si="42"/>
        <v>146.57412060301507</v>
      </c>
      <c r="C60" s="2627">
        <f t="shared" si="42"/>
        <v>136.46831955922866</v>
      </c>
      <c r="D60" s="2627">
        <f t="shared" si="18"/>
        <v>136.46831955922866</v>
      </c>
      <c r="E60" s="2627">
        <f t="shared" si="43"/>
        <v>166.73864894795128</v>
      </c>
      <c r="F60" s="2627">
        <f t="shared" si="43"/>
        <v>115.05882352941177</v>
      </c>
      <c r="G60" s="3650">
        <v>2006</v>
      </c>
      <c r="H60" s="2618">
        <v>2</v>
      </c>
      <c r="I60" s="2618">
        <v>0.96</v>
      </c>
      <c r="J60" s="2618">
        <v>0.25</v>
      </c>
      <c r="K60" s="2618">
        <v>1.9</v>
      </c>
      <c r="L60" s="2629">
        <v>0.95</v>
      </c>
      <c r="N60" s="2670">
        <f t="shared" si="40"/>
        <v>1.8352632728861701E-2</v>
      </c>
      <c r="O60" s="2671">
        <f t="shared" si="40"/>
        <v>2.6286459319075526E-3</v>
      </c>
      <c r="P60" s="2671">
        <f t="shared" si="41"/>
        <v>5.4299289107991269E-2</v>
      </c>
      <c r="Q60" s="2671">
        <f t="shared" si="41"/>
        <v>8.9126559714794995E-3</v>
      </c>
      <c r="R60" s="2624"/>
      <c r="S60" s="2622"/>
      <c r="T60" s="2623"/>
      <c r="U60" s="2623"/>
      <c r="V60" s="2623"/>
      <c r="X60" s="2672"/>
      <c r="Y60" s="2672"/>
      <c r="Z60" s="2672"/>
    </row>
    <row r="61" spans="1:26">
      <c r="A61" s="2614" t="s">
        <v>2610</v>
      </c>
      <c r="B61" s="2627">
        <f t="shared" si="42"/>
        <v>144.04145728643215</v>
      </c>
      <c r="C61" s="2627">
        <f t="shared" si="42"/>
        <v>136.12396694214877</v>
      </c>
      <c r="D61" s="2627">
        <f t="shared" si="18"/>
        <v>136.12396694214877</v>
      </c>
      <c r="E61" s="2627">
        <f t="shared" si="43"/>
        <v>158.32225913621264</v>
      </c>
      <c r="F61" s="2627">
        <f t="shared" si="43"/>
        <v>114.04278074866311</v>
      </c>
      <c r="G61" s="3653">
        <v>2006</v>
      </c>
      <c r="H61" s="2617">
        <v>1</v>
      </c>
      <c r="I61" s="2617">
        <v>2.29</v>
      </c>
      <c r="J61" s="2617">
        <v>3.72</v>
      </c>
      <c r="K61" s="2617">
        <v>0.75</v>
      </c>
      <c r="L61" s="2628">
        <v>0.04</v>
      </c>
      <c r="N61" s="2673">
        <f t="shared" si="40"/>
        <v>4.3778675988638847E-2</v>
      </c>
      <c r="O61" s="2674">
        <f t="shared" si="40"/>
        <v>3.9114251466784385E-2</v>
      </c>
      <c r="P61" s="2674">
        <f t="shared" si="41"/>
        <v>2.1433929911049188E-2</v>
      </c>
      <c r="Q61" s="2674">
        <f t="shared" si="41"/>
        <v>3.7526972511492629E-4</v>
      </c>
      <c r="R61" s="2624"/>
      <c r="S61" s="2630">
        <f>B61/B62-1</f>
        <v>4.3778675988638716E-2</v>
      </c>
      <c r="T61" s="2631">
        <f>C61/C62-1</f>
        <v>3.91142514667846E-2</v>
      </c>
      <c r="U61" s="2631">
        <f>E61/E62-1</f>
        <v>2.143392991104931E-2</v>
      </c>
      <c r="V61" s="2631">
        <f>F61/F62-1</f>
        <v>3.7526972511492396E-4</v>
      </c>
      <c r="X61" s="2672"/>
      <c r="Y61" s="2672"/>
      <c r="Z61" s="2672"/>
    </row>
    <row r="62" spans="1:26" ht="13.8" thickBot="1">
      <c r="A62" s="2614" t="s">
        <v>2611</v>
      </c>
      <c r="B62" s="2641">
        <v>138</v>
      </c>
      <c r="C62" s="2641">
        <v>131</v>
      </c>
      <c r="D62" s="2641">
        <f t="shared" si="18"/>
        <v>131</v>
      </c>
      <c r="E62" s="2641">
        <v>155</v>
      </c>
      <c r="F62" s="2642">
        <v>114</v>
      </c>
      <c r="G62" s="3652">
        <v>2005</v>
      </c>
      <c r="H62" s="2633">
        <v>4</v>
      </c>
      <c r="I62" s="2633">
        <v>3.29</v>
      </c>
      <c r="J62" s="2633">
        <v>1.44</v>
      </c>
      <c r="K62" s="2633">
        <v>0.66</v>
      </c>
      <c r="L62" s="2634">
        <v>7.78</v>
      </c>
      <c r="N62" s="2670">
        <f t="shared" ref="N62:O65" si="44">I62/SUM(I$62:I$65)*(B$62/B$66-1)</f>
        <v>9.9404603216919935E-2</v>
      </c>
      <c r="O62" s="2671">
        <f t="shared" si="44"/>
        <v>4.7636550760861554E-2</v>
      </c>
      <c r="P62" s="2671">
        <f t="shared" ref="P62:Q65" si="45">K62/SUM(K$62:K$65)*(E$62/E$66-1)</f>
        <v>8.3756345177664976E-2</v>
      </c>
      <c r="Q62" s="2671">
        <f t="shared" si="45"/>
        <v>5.2148766661559584E-2</v>
      </c>
      <c r="R62" s="2624"/>
      <c r="S62" s="2625"/>
      <c r="T62" s="2626"/>
      <c r="U62" s="2626"/>
      <c r="V62" s="2626"/>
      <c r="X62" s="2672"/>
      <c r="Y62" s="2672"/>
      <c r="Z62" s="2672"/>
    </row>
    <row r="63" spans="1:26">
      <c r="A63" s="2614" t="s">
        <v>2612</v>
      </c>
      <c r="B63" s="2627">
        <f t="shared" ref="B63:C65" si="46">B64+(B$62-B$66)*I63/SUM(I$62:I$65)</f>
        <v>125.9720430107527</v>
      </c>
      <c r="C63" s="2627">
        <f t="shared" si="46"/>
        <v>125.1883408071749</v>
      </c>
      <c r="D63" s="2627">
        <f t="shared" si="18"/>
        <v>125.1883408071749</v>
      </c>
      <c r="E63" s="2627">
        <f t="shared" ref="E63:F65" si="47">E64+(E$62-E$66)*K63/SUM(K$62:K$65)</f>
        <v>144.61421319796952</v>
      </c>
      <c r="F63" s="2627">
        <f t="shared" si="47"/>
        <v>108.42008196721311</v>
      </c>
      <c r="G63" s="3650">
        <v>2005</v>
      </c>
      <c r="H63" s="2638">
        <v>3</v>
      </c>
      <c r="I63" s="2638">
        <v>0.46</v>
      </c>
      <c r="J63" s="2638">
        <v>0.32</v>
      </c>
      <c r="K63" s="2638">
        <v>0.42</v>
      </c>
      <c r="L63" s="2639">
        <v>0.64</v>
      </c>
      <c r="N63" s="2670">
        <f t="shared" si="44"/>
        <v>1.3898515951301874E-2</v>
      </c>
      <c r="O63" s="2671">
        <f t="shared" si="44"/>
        <v>1.0585900169080346E-2</v>
      </c>
      <c r="P63" s="2671">
        <f t="shared" si="45"/>
        <v>5.3299492385786795E-2</v>
      </c>
      <c r="Q63" s="2671">
        <f t="shared" si="45"/>
        <v>4.2898728359123568E-3</v>
      </c>
      <c r="R63" s="2624"/>
      <c r="S63" s="2622"/>
      <c r="T63" s="2623"/>
      <c r="U63" s="2623"/>
      <c r="V63" s="2623"/>
      <c r="X63" s="2672"/>
      <c r="Y63" s="2672"/>
      <c r="Z63" s="2672"/>
    </row>
    <row r="64" spans="1:26">
      <c r="A64" s="2614" t="s">
        <v>2613</v>
      </c>
      <c r="B64" s="2627">
        <f t="shared" si="46"/>
        <v>124.29032258064517</v>
      </c>
      <c r="C64" s="2627">
        <f t="shared" si="46"/>
        <v>123.8968609865471</v>
      </c>
      <c r="D64" s="2627">
        <f t="shared" si="18"/>
        <v>123.8968609865471</v>
      </c>
      <c r="E64" s="2627">
        <f t="shared" si="47"/>
        <v>138.00507614213197</v>
      </c>
      <c r="F64" s="2627">
        <f t="shared" si="47"/>
        <v>107.96106557377048</v>
      </c>
      <c r="G64" s="3650">
        <v>2005</v>
      </c>
      <c r="H64" s="2618">
        <v>2</v>
      </c>
      <c r="I64" s="2618">
        <v>0.47</v>
      </c>
      <c r="J64" s="2618">
        <v>0.1</v>
      </c>
      <c r="K64" s="2618">
        <v>0.52</v>
      </c>
      <c r="L64" s="2629">
        <v>0.79</v>
      </c>
      <c r="N64" s="2670">
        <f t="shared" si="44"/>
        <v>1.420065760241713E-2</v>
      </c>
      <c r="O64" s="2671">
        <f t="shared" si="44"/>
        <v>3.3080938028376083E-3</v>
      </c>
      <c r="P64" s="2671">
        <f t="shared" si="45"/>
        <v>6.598984771573603E-2</v>
      </c>
      <c r="Q64" s="2671">
        <f t="shared" si="45"/>
        <v>5.2953117818293153E-3</v>
      </c>
      <c r="R64" s="2624"/>
      <c r="S64" s="2622"/>
      <c r="T64" s="2623"/>
      <c r="U64" s="2623"/>
      <c r="V64" s="2623"/>
      <c r="X64" s="2672"/>
      <c r="Y64" s="2672"/>
      <c r="Z64" s="2672"/>
    </row>
    <row r="65" spans="1:26">
      <c r="A65" s="2614" t="s">
        <v>2614</v>
      </c>
      <c r="B65" s="2627">
        <f t="shared" si="46"/>
        <v>122.57204301075269</v>
      </c>
      <c r="C65" s="2627">
        <f t="shared" si="46"/>
        <v>123.4932735426009</v>
      </c>
      <c r="D65" s="2627">
        <f t="shared" si="18"/>
        <v>123.4932735426009</v>
      </c>
      <c r="E65" s="2627">
        <f t="shared" si="47"/>
        <v>129.82233502538071</v>
      </c>
      <c r="F65" s="2627">
        <f t="shared" si="47"/>
        <v>107.39446721311475</v>
      </c>
      <c r="G65" s="3653">
        <v>2005</v>
      </c>
      <c r="H65" s="2617">
        <v>1</v>
      </c>
      <c r="I65" s="2617">
        <v>0.43</v>
      </c>
      <c r="J65" s="2617">
        <v>0.37</v>
      </c>
      <c r="K65" s="2617">
        <v>0.37</v>
      </c>
      <c r="L65" s="2628">
        <v>0.55000000000000004</v>
      </c>
      <c r="N65" s="2673">
        <f t="shared" si="44"/>
        <v>1.2992090997956099E-2</v>
      </c>
      <c r="O65" s="2674">
        <f t="shared" si="44"/>
        <v>1.2239947070499151E-2</v>
      </c>
      <c r="P65" s="2674">
        <f t="shared" si="45"/>
        <v>4.6954314720812178E-2</v>
      </c>
      <c r="Q65" s="2674">
        <f t="shared" si="45"/>
        <v>3.6866094683621815E-3</v>
      </c>
      <c r="R65" s="2624"/>
      <c r="S65" s="2630">
        <f>B65/B66-1</f>
        <v>1.2992090997956174E-2</v>
      </c>
      <c r="T65" s="2631">
        <f>C65/C66-1</f>
        <v>1.2239947070499246E-2</v>
      </c>
      <c r="U65" s="2631">
        <f>E65/E66-1</f>
        <v>4.695431472081224E-2</v>
      </c>
      <c r="V65" s="2631">
        <f>F65/F66-1</f>
        <v>3.6866094683620787E-3</v>
      </c>
      <c r="X65" s="2672"/>
      <c r="Y65" s="2672"/>
      <c r="Z65" s="2672"/>
    </row>
    <row r="66" spans="1:26" ht="13.8" thickBot="1">
      <c r="A66" s="2614" t="s">
        <v>2615</v>
      </c>
      <c r="B66" s="2657">
        <v>121</v>
      </c>
      <c r="C66" s="2657">
        <v>122</v>
      </c>
      <c r="D66" s="2657">
        <f t="shared" si="18"/>
        <v>122</v>
      </c>
      <c r="E66" s="2657">
        <v>124</v>
      </c>
      <c r="F66" s="2658">
        <v>107</v>
      </c>
      <c r="G66" s="3652">
        <v>2004</v>
      </c>
      <c r="H66" s="2633">
        <v>4</v>
      </c>
      <c r="I66" s="2633">
        <v>0.33</v>
      </c>
      <c r="J66" s="2633">
        <v>0.5</v>
      </c>
      <c r="K66" s="2633">
        <v>0.5</v>
      </c>
      <c r="L66" s="2634">
        <v>0</v>
      </c>
      <c r="N66" s="2670">
        <f t="shared" ref="N66:O69" si="48">I66/SUM(I$66:I$69)*(B$66/B$70-1)</f>
        <v>1.3391770148526898E-2</v>
      </c>
      <c r="O66" s="2671">
        <f t="shared" si="48"/>
        <v>1.063264221158958E-2</v>
      </c>
      <c r="P66" s="2671">
        <f t="shared" ref="P66:Q69" si="49">K66/SUM(K$66:K$69)*(E$66/E$70-1)</f>
        <v>2.2244466688911134E-2</v>
      </c>
      <c r="Q66" s="2671">
        <f t="shared" si="49"/>
        <v>0</v>
      </c>
      <c r="R66" s="2624"/>
      <c r="S66" s="2625"/>
      <c r="T66" s="2626"/>
      <c r="U66" s="2626"/>
      <c r="V66" s="2626"/>
      <c r="X66" s="2672"/>
      <c r="Y66" s="2672"/>
      <c r="Z66" s="2672"/>
    </row>
    <row r="67" spans="1:26">
      <c r="A67" s="2614" t="s">
        <v>2616</v>
      </c>
      <c r="B67" s="2627">
        <f t="shared" ref="B67:C69" si="50">B68+(B$66-B$70)*I67/SUM(I$66:I$69)</f>
        <v>119.51351351351352</v>
      </c>
      <c r="C67" s="2627">
        <f t="shared" si="50"/>
        <v>120.7878787878788</v>
      </c>
      <c r="D67" s="2627">
        <f t="shared" si="18"/>
        <v>120.7878787878788</v>
      </c>
      <c r="E67" s="2627">
        <f t="shared" ref="E67:F69" si="51">E68+(E$66-E$70)*K67/SUM(K$66:K$69)</f>
        <v>121.5975975975976</v>
      </c>
      <c r="F67" s="2627">
        <f t="shared" si="51"/>
        <v>107</v>
      </c>
      <c r="G67" s="3650">
        <v>2004</v>
      </c>
      <c r="H67" s="2638">
        <v>3</v>
      </c>
      <c r="I67" s="2638">
        <v>0.56000000000000005</v>
      </c>
      <c r="J67" s="2638">
        <v>0.8</v>
      </c>
      <c r="K67" s="2638">
        <v>0.83</v>
      </c>
      <c r="L67" s="2639">
        <v>0.06</v>
      </c>
      <c r="N67" s="2670">
        <f t="shared" si="48"/>
        <v>2.2725428130833527E-2</v>
      </c>
      <c r="O67" s="2671">
        <f t="shared" si="48"/>
        <v>1.7012227538543329E-2</v>
      </c>
      <c r="P67" s="2671">
        <f t="shared" si="49"/>
        <v>3.6925814703592477E-2</v>
      </c>
      <c r="Q67" s="2671">
        <f t="shared" si="49"/>
        <v>2.8846153846153744E-2</v>
      </c>
      <c r="R67" s="2624"/>
      <c r="S67" s="2622"/>
      <c r="T67" s="2623"/>
      <c r="U67" s="2623"/>
      <c r="V67" s="2623"/>
      <c r="X67" s="2672"/>
      <c r="Y67" s="2672"/>
      <c r="Z67" s="2672"/>
    </row>
    <row r="68" spans="1:26">
      <c r="A68" s="2614" t="s">
        <v>2617</v>
      </c>
      <c r="B68" s="2627">
        <f t="shared" si="50"/>
        <v>116.99099099099099</v>
      </c>
      <c r="C68" s="2627">
        <f t="shared" si="50"/>
        <v>118.84848484848486</v>
      </c>
      <c r="D68" s="2627">
        <f t="shared" si="18"/>
        <v>118.84848484848486</v>
      </c>
      <c r="E68" s="2627">
        <f t="shared" si="51"/>
        <v>117.60960960960961</v>
      </c>
      <c r="F68" s="2627">
        <f t="shared" si="51"/>
        <v>104</v>
      </c>
      <c r="G68" s="3650">
        <v>2004</v>
      </c>
      <c r="H68" s="2618">
        <v>2</v>
      </c>
      <c r="I68" s="2618">
        <v>1</v>
      </c>
      <c r="J68" s="2618">
        <v>1.5</v>
      </c>
      <c r="K68" s="2618">
        <v>1.5</v>
      </c>
      <c r="L68" s="2629">
        <v>0</v>
      </c>
      <c r="N68" s="2670">
        <f t="shared" si="48"/>
        <v>4.0581121662202721E-2</v>
      </c>
      <c r="O68" s="2671">
        <f t="shared" si="48"/>
        <v>3.1897926634768738E-2</v>
      </c>
      <c r="P68" s="2671">
        <f t="shared" si="49"/>
        <v>6.6733400066733395E-2</v>
      </c>
      <c r="Q68" s="2671">
        <f t="shared" si="49"/>
        <v>0</v>
      </c>
      <c r="R68" s="2624"/>
      <c r="S68" s="2622"/>
      <c r="T68" s="2623"/>
      <c r="U68" s="2623"/>
      <c r="V68" s="2623"/>
      <c r="X68" s="2672"/>
      <c r="Y68" s="2672"/>
      <c r="Z68" s="2672"/>
    </row>
    <row r="69" spans="1:26" s="2663" customFormat="1" ht="13.8" thickBot="1">
      <c r="A69" s="2614" t="s">
        <v>2618</v>
      </c>
      <c r="B69" s="2660">
        <f t="shared" si="50"/>
        <v>112.48648648648648</v>
      </c>
      <c r="C69" s="2660">
        <f t="shared" si="50"/>
        <v>115.21212121212122</v>
      </c>
      <c r="D69" s="2660">
        <f t="shared" si="18"/>
        <v>115.21212121212122</v>
      </c>
      <c r="E69" s="2660">
        <f t="shared" si="51"/>
        <v>110.4024024024024</v>
      </c>
      <c r="F69" s="2660">
        <f t="shared" si="51"/>
        <v>104</v>
      </c>
      <c r="G69" s="3653">
        <v>2004</v>
      </c>
      <c r="H69" s="2661">
        <v>1</v>
      </c>
      <c r="I69" s="2661">
        <v>0.33</v>
      </c>
      <c r="J69" s="2661">
        <v>0.5</v>
      </c>
      <c r="K69" s="2661">
        <v>0.5</v>
      </c>
      <c r="L69" s="2662">
        <v>0</v>
      </c>
      <c r="N69" s="2675">
        <f t="shared" si="48"/>
        <v>1.3391770148526898E-2</v>
      </c>
      <c r="O69" s="2676">
        <f t="shared" si="48"/>
        <v>1.063264221158958E-2</v>
      </c>
      <c r="P69" s="2676">
        <f t="shared" si="49"/>
        <v>2.2244466688911134E-2</v>
      </c>
      <c r="Q69" s="2676">
        <f t="shared" si="49"/>
        <v>0</v>
      </c>
      <c r="R69" s="2666"/>
      <c r="S69" s="2664">
        <f>B69/B70-1</f>
        <v>1.3391770148526883E-2</v>
      </c>
      <c r="T69" s="2665">
        <f>C69/C70-1</f>
        <v>1.063264221158966E-2</v>
      </c>
      <c r="U69" s="2665">
        <f>E69/E70-1</f>
        <v>2.2244466688911224E-2</v>
      </c>
      <c r="V69" s="2665">
        <f>F69/F70-1</f>
        <v>0</v>
      </c>
      <c r="X69" s="2677"/>
      <c r="Y69" s="2677"/>
      <c r="Z69" s="2677"/>
    </row>
    <row r="70" spans="1:26" ht="13.8" thickBot="1">
      <c r="A70" s="2614" t="s">
        <v>2619</v>
      </c>
      <c r="B70" s="2678">
        <v>111</v>
      </c>
      <c r="C70" s="2678">
        <v>114</v>
      </c>
      <c r="D70" s="2678">
        <f t="shared" si="18"/>
        <v>114</v>
      </c>
      <c r="E70" s="2678">
        <v>108</v>
      </c>
      <c r="F70" s="2679">
        <v>104</v>
      </c>
      <c r="G70" s="3652">
        <v>2003</v>
      </c>
      <c r="H70" s="2668">
        <v>4</v>
      </c>
      <c r="I70" s="2680"/>
      <c r="J70" s="2680"/>
      <c r="K70" s="2680"/>
      <c r="L70" s="2680"/>
      <c r="N70" s="2681"/>
      <c r="O70" s="2680"/>
      <c r="P70" s="2680"/>
      <c r="Q70" s="2680"/>
      <c r="S70" s="2681"/>
      <c r="T70" s="2680"/>
      <c r="U70" s="2680"/>
      <c r="V70" s="2680"/>
      <c r="X70" s="2672"/>
      <c r="Y70" s="2672"/>
      <c r="Z70" s="2672"/>
    </row>
    <row r="71" spans="1:26">
      <c r="A71" s="2614" t="s">
        <v>2620</v>
      </c>
      <c r="B71" s="2682">
        <f t="shared" ref="B71:C73" si="52">B72+(B$70-B$74)/4</f>
        <v>109.75</v>
      </c>
      <c r="C71" s="2682">
        <f t="shared" si="52"/>
        <v>112.25</v>
      </c>
      <c r="D71" s="2682">
        <f t="shared" si="18"/>
        <v>112.25</v>
      </c>
      <c r="E71" s="2682">
        <f t="shared" ref="E71:F73" si="53">E72+(E$70-E$74)/4</f>
        <v>107.25</v>
      </c>
      <c r="F71" s="2682">
        <f t="shared" si="53"/>
        <v>103.5</v>
      </c>
      <c r="G71" s="3650">
        <v>2003</v>
      </c>
      <c r="H71" s="2638">
        <v>3</v>
      </c>
      <c r="I71" s="2680"/>
      <c r="J71" s="2680"/>
      <c r="K71" s="2680"/>
      <c r="L71" s="2680"/>
      <c r="X71" s="2672"/>
      <c r="Y71" s="2672"/>
      <c r="Z71" s="2672"/>
    </row>
    <row r="72" spans="1:26">
      <c r="A72" s="2614" t="s">
        <v>2621</v>
      </c>
      <c r="B72" s="2682">
        <f t="shared" si="52"/>
        <v>108.5</v>
      </c>
      <c r="C72" s="2682">
        <f t="shared" si="52"/>
        <v>110.5</v>
      </c>
      <c r="D72" s="2682">
        <f t="shared" si="18"/>
        <v>110.5</v>
      </c>
      <c r="E72" s="2682">
        <f t="shared" si="53"/>
        <v>106.5</v>
      </c>
      <c r="F72" s="2682">
        <f t="shared" si="53"/>
        <v>103</v>
      </c>
      <c r="G72" s="3650">
        <v>2003</v>
      </c>
      <c r="H72" s="2618">
        <v>2</v>
      </c>
      <c r="I72" s="2680"/>
      <c r="J72" s="2680"/>
      <c r="K72" s="2680"/>
      <c r="L72" s="2680"/>
      <c r="X72" s="2672"/>
      <c r="Y72" s="2672"/>
      <c r="Z72" s="2672"/>
    </row>
    <row r="73" spans="1:26" ht="13.8" thickBot="1">
      <c r="A73" s="2614" t="s">
        <v>2622</v>
      </c>
      <c r="B73" s="2682">
        <f t="shared" si="52"/>
        <v>107.25</v>
      </c>
      <c r="C73" s="2682">
        <f t="shared" si="52"/>
        <v>108.75</v>
      </c>
      <c r="D73" s="2682">
        <f t="shared" si="18"/>
        <v>108.75</v>
      </c>
      <c r="E73" s="2682">
        <f t="shared" si="53"/>
        <v>105.75</v>
      </c>
      <c r="F73" s="2682">
        <f t="shared" si="53"/>
        <v>102.5</v>
      </c>
      <c r="G73" s="3653">
        <v>2003</v>
      </c>
      <c r="H73" s="2683">
        <v>1</v>
      </c>
      <c r="I73" s="2680"/>
      <c r="J73" s="2680"/>
      <c r="K73" s="2680"/>
      <c r="L73" s="2680"/>
      <c r="S73" s="2622"/>
      <c r="T73" s="2623"/>
      <c r="U73" s="2623"/>
      <c r="X73" s="2672"/>
      <c r="Y73" s="2672"/>
      <c r="Z73" s="2672"/>
    </row>
    <row r="74" spans="1:26" ht="13.8" thickBot="1">
      <c r="A74" s="2614" t="s">
        <v>2623</v>
      </c>
      <c r="B74" s="2684">
        <v>106</v>
      </c>
      <c r="C74" s="2684">
        <v>107</v>
      </c>
      <c r="D74" s="2684">
        <f t="shared" si="18"/>
        <v>107</v>
      </c>
      <c r="E74" s="2684">
        <v>105</v>
      </c>
      <c r="F74" s="2685">
        <v>102</v>
      </c>
      <c r="G74" s="3652">
        <v>2002</v>
      </c>
      <c r="H74" s="2633">
        <v>4</v>
      </c>
      <c r="I74" s="2680"/>
      <c r="J74" s="2680"/>
      <c r="K74" s="2680"/>
      <c r="L74" s="2680"/>
      <c r="N74" s="2681"/>
      <c r="O74" s="2680"/>
      <c r="P74" s="2680"/>
      <c r="Q74" s="2680"/>
      <c r="S74" s="2681"/>
      <c r="T74" s="2680"/>
      <c r="U74" s="2680"/>
      <c r="V74" s="2680"/>
      <c r="X74" s="2672"/>
      <c r="Y74" s="2672"/>
      <c r="Z74" s="2672"/>
    </row>
    <row r="75" spans="1:26">
      <c r="A75" s="2614" t="s">
        <v>2624</v>
      </c>
      <c r="B75" s="2682">
        <f t="shared" ref="B75:C77" si="54">B76+(B$74-B$78)/4</f>
        <v>105</v>
      </c>
      <c r="C75" s="2682">
        <f t="shared" si="54"/>
        <v>106</v>
      </c>
      <c r="D75" s="2682">
        <f t="shared" si="18"/>
        <v>106</v>
      </c>
      <c r="E75" s="2682">
        <f t="shared" ref="E75:F77" si="55">E76+(E$74-E$78)/4</f>
        <v>104.5</v>
      </c>
      <c r="F75" s="2682">
        <f t="shared" si="55"/>
        <v>101.5</v>
      </c>
      <c r="G75" s="3650">
        <v>2002</v>
      </c>
      <c r="H75" s="2638">
        <v>3</v>
      </c>
      <c r="I75" s="2680"/>
      <c r="J75" s="2680"/>
      <c r="K75" s="2680"/>
      <c r="L75" s="2680"/>
      <c r="X75" s="2672"/>
      <c r="Y75" s="2672"/>
      <c r="Z75" s="2672"/>
    </row>
    <row r="76" spans="1:26">
      <c r="A76" s="2614" t="s">
        <v>2625</v>
      </c>
      <c r="B76" s="2682">
        <f t="shared" si="54"/>
        <v>104</v>
      </c>
      <c r="C76" s="2682">
        <f t="shared" si="54"/>
        <v>105</v>
      </c>
      <c r="D76" s="2682">
        <f t="shared" si="18"/>
        <v>105</v>
      </c>
      <c r="E76" s="2682">
        <f t="shared" si="55"/>
        <v>104</v>
      </c>
      <c r="F76" s="2682">
        <f t="shared" si="55"/>
        <v>101</v>
      </c>
      <c r="G76" s="3650">
        <v>2002</v>
      </c>
      <c r="H76" s="2618">
        <v>2</v>
      </c>
      <c r="I76" s="2680"/>
      <c r="J76" s="2680"/>
      <c r="K76" s="2680"/>
      <c r="L76" s="2680"/>
      <c r="X76" s="2672"/>
      <c r="Y76" s="2672"/>
      <c r="Z76" s="2672"/>
    </row>
    <row r="77" spans="1:26" s="2649" customFormat="1" ht="13.8" thickBot="1">
      <c r="A77" s="2645" t="s">
        <v>2626</v>
      </c>
      <c r="B77" s="2686">
        <f t="shared" si="54"/>
        <v>103</v>
      </c>
      <c r="C77" s="2686">
        <f t="shared" si="54"/>
        <v>104</v>
      </c>
      <c r="D77" s="2686">
        <f t="shared" si="18"/>
        <v>104</v>
      </c>
      <c r="E77" s="2686">
        <f t="shared" si="55"/>
        <v>103.5</v>
      </c>
      <c r="F77" s="2686">
        <f t="shared" si="55"/>
        <v>100.5</v>
      </c>
      <c r="G77" s="3653">
        <v>2002</v>
      </c>
      <c r="H77" s="2687">
        <v>1</v>
      </c>
      <c r="I77" s="2688"/>
      <c r="J77" s="2688"/>
      <c r="K77" s="2688"/>
      <c r="L77" s="2688"/>
      <c r="N77" s="2689"/>
      <c r="S77" s="2689"/>
      <c r="X77" s="2690"/>
      <c r="Y77" s="2690"/>
      <c r="Z77" s="2690"/>
    </row>
    <row r="78" spans="1:26" ht="13.8" thickBot="1">
      <c r="B78" s="2691">
        <v>102</v>
      </c>
      <c r="C78" s="2692">
        <v>103</v>
      </c>
      <c r="D78" s="2692">
        <f t="shared" si="18"/>
        <v>103</v>
      </c>
      <c r="E78" s="2692">
        <v>103</v>
      </c>
      <c r="F78" s="2693">
        <v>100</v>
      </c>
      <c r="I78" s="2680"/>
      <c r="J78" s="2680"/>
      <c r="K78" s="2680"/>
      <c r="L78" s="2680"/>
      <c r="N78" s="2681"/>
      <c r="O78" s="2680"/>
      <c r="P78" s="2680"/>
      <c r="Q78" s="2680"/>
      <c r="S78" s="2681"/>
      <c r="T78" s="2680"/>
      <c r="U78" s="2680"/>
      <c r="V78" s="2680"/>
      <c r="X78" s="2626"/>
      <c r="Y78" s="2626"/>
      <c r="Z78" s="2626"/>
    </row>
    <row r="80" spans="1:26" s="2695" customFormat="1">
      <c r="A80" s="2694" t="s">
        <v>2627</v>
      </c>
      <c r="G80" s="2696"/>
      <c r="N80" s="2696"/>
      <c r="S80" s="2696"/>
    </row>
    <row r="81" spans="1:22" s="2695" customFormat="1">
      <c r="A81" s="2695" t="s">
        <v>2628</v>
      </c>
      <c r="G81" s="2696"/>
      <c r="N81" s="2696"/>
      <c r="S81" s="2696"/>
    </row>
    <row r="82" spans="1:22" s="2695" customFormat="1">
      <c r="A82" s="2695" t="s">
        <v>2629</v>
      </c>
      <c r="G82" s="2696"/>
      <c r="I82" s="2697"/>
      <c r="J82" s="2697"/>
      <c r="K82" s="2697"/>
      <c r="L82" s="2697"/>
      <c r="N82" s="2698"/>
      <c r="O82" s="2697"/>
      <c r="P82" s="2697"/>
      <c r="Q82" s="2697"/>
      <c r="S82" s="2698"/>
      <c r="T82" s="2697"/>
      <c r="U82" s="2697"/>
      <c r="V82" s="2697"/>
    </row>
    <row r="83" spans="1:22" s="2695" customFormat="1">
      <c r="A83" s="2695" t="s">
        <v>2630</v>
      </c>
      <c r="G83" s="2696"/>
      <c r="N83" s="2696"/>
      <c r="S83" s="2696"/>
    </row>
    <row r="90" spans="1:22" ht="13.8" thickBot="1"/>
    <row r="91" spans="1:22">
      <c r="G91" s="2621"/>
      <c r="S91" s="2699" t="s">
        <v>2631</v>
      </c>
      <c r="T91" s="2700" t="s">
        <v>2632</v>
      </c>
      <c r="U91" s="2700" t="s">
        <v>2633</v>
      </c>
      <c r="V91" s="2700" t="s">
        <v>2634</v>
      </c>
    </row>
    <row r="92" spans="1:22">
      <c r="G92" s="2621"/>
      <c r="N92" s="2625"/>
      <c r="O92" s="2626"/>
      <c r="P92" s="2626"/>
      <c r="Q92" s="2626"/>
      <c r="S92" s="2701">
        <v>2006</v>
      </c>
      <c r="T92" s="2702">
        <v>15.1</v>
      </c>
      <c r="U92" s="2702">
        <v>7.43</v>
      </c>
      <c r="V92" s="2702">
        <v>26.26</v>
      </c>
    </row>
    <row r="93" spans="1:22">
      <c r="G93" s="2621"/>
      <c r="N93" s="2625"/>
      <c r="O93" s="2626"/>
      <c r="P93" s="2626"/>
      <c r="Q93" s="2626"/>
      <c r="S93" s="2704">
        <v>2005</v>
      </c>
      <c r="T93" s="2703">
        <v>13.9</v>
      </c>
      <c r="U93" s="2703">
        <v>7.49</v>
      </c>
      <c r="V93" s="2703">
        <v>24.92</v>
      </c>
    </row>
    <row r="94" spans="1:22">
      <c r="G94" s="2621"/>
      <c r="N94" s="2625"/>
      <c r="O94" s="2626"/>
      <c r="P94" s="2626"/>
      <c r="Q94" s="2626"/>
      <c r="S94" s="2701">
        <v>2004</v>
      </c>
      <c r="T94" s="2702">
        <v>9.48</v>
      </c>
      <c r="U94" s="2702">
        <v>7.2</v>
      </c>
      <c r="V94" s="2702">
        <v>14.68</v>
      </c>
    </row>
    <row r="95" spans="1:22">
      <c r="G95" s="2621"/>
      <c r="N95" s="2625"/>
      <c r="O95" s="2626"/>
      <c r="P95" s="2626"/>
      <c r="Q95" s="2626"/>
      <c r="S95" s="2704">
        <v>2003</v>
      </c>
      <c r="T95" s="2703">
        <v>4.5</v>
      </c>
      <c r="U95" s="2703">
        <v>6.12</v>
      </c>
      <c r="V95" s="2703">
        <v>2.34</v>
      </c>
    </row>
    <row r="96" spans="1:22" ht="13.8" thickBot="1">
      <c r="G96" s="2621"/>
      <c r="N96" s="2625"/>
      <c r="O96" s="2626"/>
      <c r="P96" s="2626"/>
      <c r="Q96" s="2626"/>
      <c r="S96" s="2705">
        <v>2002</v>
      </c>
      <c r="T96" s="2706">
        <v>3.59</v>
      </c>
      <c r="U96" s="2706">
        <v>4.54</v>
      </c>
      <c r="V96" s="2706">
        <v>2.5499999999999998</v>
      </c>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row r="112" spans="7:19">
      <c r="G112" s="2621"/>
      <c r="N112" s="2625"/>
      <c r="O112" s="2626"/>
      <c r="P112" s="2626"/>
      <c r="Q112" s="2626"/>
      <c r="S112" s="2621"/>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1" t="s">
        <v>2941</v>
      </c>
      <c r="B1" s="3043"/>
      <c r="C1" s="3043"/>
      <c r="D1" s="3043"/>
      <c r="E1" s="3043"/>
      <c r="F1" s="3043"/>
    </row>
    <row r="2" spans="1:6" ht="15.6">
      <c r="A2" s="3044" t="s">
        <v>2936</v>
      </c>
      <c r="B2" s="3045" t="e">
        <f ca="1">SUMIF(B7:B14,"&lt;&gt;#ref!",B7:B14)</f>
        <v>#DIV/0!</v>
      </c>
      <c r="C2" s="3044" t="s">
        <v>2937</v>
      </c>
      <c r="D2" s="3043"/>
      <c r="E2" s="3043"/>
      <c r="F2" s="3043"/>
    </row>
    <row r="3" spans="1:6" ht="15.6">
      <c r="A3" s="3044" t="s">
        <v>2969</v>
      </c>
      <c r="B3" s="3045" t="e">
        <f ca="1">ROUND(B2*10000/E3,0)</f>
        <v>#DIV/0!</v>
      </c>
      <c r="C3" s="3044" t="s">
        <v>2076</v>
      </c>
      <c r="D3" s="3044" t="s">
        <v>2938</v>
      </c>
      <c r="E3" s="3045">
        <f ca="1">SUMIF(E7:E14,"&lt;&gt;#ref!",E7:E14)</f>
        <v>0</v>
      </c>
      <c r="F3" s="3043"/>
    </row>
    <row r="4" spans="1:6" ht="15.6">
      <c r="A4" s="3044" t="s">
        <v>2945</v>
      </c>
      <c r="B4" s="3045" t="e">
        <f ca="1">ROUND(B2*10000/E4,0)</f>
        <v>#DIV/0!</v>
      </c>
      <c r="C4" s="3044" t="s">
        <v>2076</v>
      </c>
      <c r="D4" s="3044" t="s">
        <v>2946</v>
      </c>
      <c r="E4" s="3045">
        <f ca="1">SUMIF(F7:F14,"&lt;&gt;#ref!",F7:F14)</f>
        <v>0</v>
      </c>
      <c r="F4" s="3043"/>
    </row>
    <row r="5" spans="1:6" ht="15.6">
      <c r="A5" s="3046"/>
      <c r="B5" s="1861"/>
      <c r="C5" s="1861"/>
      <c r="D5" s="1861"/>
      <c r="E5" s="1861"/>
      <c r="F5" s="3043"/>
    </row>
    <row r="6" spans="1:6" ht="31.2">
      <c r="A6" s="3047" t="s">
        <v>2942</v>
      </c>
      <c r="B6" s="3044" t="s">
        <v>2939</v>
      </c>
      <c r="C6" s="3045"/>
      <c r="D6" s="1861"/>
      <c r="E6" s="3044" t="s">
        <v>2940</v>
      </c>
      <c r="F6" s="3044" t="s">
        <v>2944</v>
      </c>
    </row>
    <row r="7" spans="1:6" ht="15.6">
      <c r="A7" s="257" t="s">
        <v>2943</v>
      </c>
      <c r="B7" s="3048" t="e">
        <f ca="1">SUMIF(INDIRECT("'"&amp;A7&amp;"'"&amp;"!A:A"),"总价",INDIRECT("'"&amp;A7&amp;"'"&amp;"!B:B"))</f>
        <v>#DIV/0!</v>
      </c>
      <c r="C7" s="3044" t="s">
        <v>2937</v>
      </c>
      <c r="D7" s="1861"/>
      <c r="E7" s="3049">
        <f ca="1">SUMIF(INDIRECT("'"&amp;A7&amp;"'"&amp;"!C:C"),"建筑面积",INDIRECT("'"&amp;A7&amp;"'"&amp;"!D:D"))</f>
        <v>0</v>
      </c>
      <c r="F7" s="3049">
        <f ca="1">SUMIF(INDIRECT("'"&amp;A7&amp;"'"&amp;"!E:E"),"土地面积",INDIRECT("'"&amp;A7&amp;"'"&amp;"!F:F"))</f>
        <v>0</v>
      </c>
    </row>
    <row r="8" spans="1:6" ht="15.6">
      <c r="A8" s="257"/>
      <c r="B8" s="3048" t="e">
        <f t="shared" ref="B8:B14" ca="1" si="0">SUMIF(INDIRECT("'"&amp;A8&amp;"'"&amp;"!A:A"),"总价",INDIRECT("'"&amp;A8&amp;"'"&amp;"!B:B"))</f>
        <v>#REF!</v>
      </c>
      <c r="C8" s="3044" t="s">
        <v>2937</v>
      </c>
      <c r="D8" s="1861"/>
      <c r="E8" s="3049" t="e">
        <f t="shared" ref="E8:E14" ca="1" si="1">SUMIF(INDIRECT("'"&amp;A8&amp;"'"&amp;"!C:C"),"建筑面积",INDIRECT("'"&amp;A8&amp;"'"&amp;"!D:D"))</f>
        <v>#REF!</v>
      </c>
      <c r="F8" s="3049" t="e">
        <f t="shared" ref="F8:F14" ca="1" si="2">SUMIF(INDIRECT("'"&amp;A8&amp;"'"&amp;"!E:E"),"土地面积",INDIRECT("'"&amp;A8&amp;"'"&amp;"!F:F"))</f>
        <v>#REF!</v>
      </c>
    </row>
    <row r="9" spans="1:6" ht="15.6">
      <c r="A9" s="257"/>
      <c r="B9" s="3048" t="e">
        <f t="shared" ca="1" si="0"/>
        <v>#REF!</v>
      </c>
      <c r="C9" s="3044" t="s">
        <v>2937</v>
      </c>
      <c r="D9" s="1861"/>
      <c r="E9" s="3049" t="e">
        <f t="shared" ca="1" si="1"/>
        <v>#REF!</v>
      </c>
      <c r="F9" s="3049" t="e">
        <f t="shared" ca="1" si="2"/>
        <v>#REF!</v>
      </c>
    </row>
    <row r="10" spans="1:6" ht="15.6">
      <c r="A10" s="257"/>
      <c r="B10" s="3048" t="e">
        <f t="shared" ca="1" si="0"/>
        <v>#REF!</v>
      </c>
      <c r="C10" s="3044" t="s">
        <v>2937</v>
      </c>
      <c r="D10" s="1861"/>
      <c r="E10" s="3049" t="e">
        <f t="shared" ca="1" si="1"/>
        <v>#REF!</v>
      </c>
      <c r="F10" s="3049" t="e">
        <f t="shared" ca="1" si="2"/>
        <v>#REF!</v>
      </c>
    </row>
    <row r="11" spans="1:6" ht="15.6">
      <c r="A11" s="257"/>
      <c r="B11" s="3048" t="e">
        <f t="shared" ca="1" si="0"/>
        <v>#REF!</v>
      </c>
      <c r="C11" s="3044" t="s">
        <v>2937</v>
      </c>
      <c r="D11" s="1861"/>
      <c r="E11" s="3049" t="e">
        <f t="shared" ca="1" si="1"/>
        <v>#REF!</v>
      </c>
      <c r="F11" s="3049" t="e">
        <f t="shared" ca="1" si="2"/>
        <v>#REF!</v>
      </c>
    </row>
    <row r="12" spans="1:6" ht="15.6">
      <c r="A12" s="257"/>
      <c r="B12" s="3048" t="e">
        <f t="shared" ca="1" si="0"/>
        <v>#REF!</v>
      </c>
      <c r="C12" s="3044" t="s">
        <v>2937</v>
      </c>
      <c r="D12" s="1861"/>
      <c r="E12" s="3049" t="e">
        <f t="shared" ca="1" si="1"/>
        <v>#REF!</v>
      </c>
      <c r="F12" s="3049" t="e">
        <f t="shared" ca="1" si="2"/>
        <v>#REF!</v>
      </c>
    </row>
    <row r="13" spans="1:6" ht="15.6">
      <c r="A13" s="257"/>
      <c r="B13" s="3048" t="e">
        <f t="shared" ca="1" si="0"/>
        <v>#REF!</v>
      </c>
      <c r="C13" s="3044" t="s">
        <v>2937</v>
      </c>
      <c r="D13" s="1861"/>
      <c r="E13" s="3049" t="e">
        <f t="shared" ca="1" si="1"/>
        <v>#REF!</v>
      </c>
      <c r="F13" s="3049" t="e">
        <f t="shared" ca="1" si="2"/>
        <v>#REF!</v>
      </c>
    </row>
    <row r="14" spans="1:6" ht="15.6">
      <c r="A14" s="3042"/>
      <c r="B14" s="3048" t="e">
        <f t="shared" ca="1" si="0"/>
        <v>#REF!</v>
      </c>
      <c r="C14" s="3044" t="s">
        <v>2937</v>
      </c>
      <c r="D14" s="1861"/>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8"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8.33203125" style="2039" customWidth="1"/>
    <col min="16" max="16" width="30.21875" style="2039" customWidth="1"/>
    <col min="17" max="17" width="13.77734375" style="2039" customWidth="1"/>
    <col min="18" max="18" width="22.21875" style="2039" customWidth="1"/>
    <col min="19" max="19" width="1.44140625" style="2039" customWidth="1"/>
    <col min="20" max="25" width="9" style="2039"/>
    <col min="26" max="16384" width="9" style="2040"/>
  </cols>
  <sheetData>
    <row r="1" spans="1:25" s="2034" customFormat="1" ht="21.6">
      <c r="A1" s="769" t="s">
        <v>628</v>
      </c>
      <c r="B1" s="735"/>
      <c r="C1" s="770"/>
      <c r="D1" s="2030"/>
      <c r="E1" s="2346" t="s">
        <v>2372</v>
      </c>
      <c r="F1" s="2347">
        <f ca="1">J54</f>
        <v>-2</v>
      </c>
      <c r="G1" s="771">
        <f>MATCH(C1,'数据-取费表'!A6:A16,0)+5</f>
        <v>7</v>
      </c>
      <c r="H1" s="1342"/>
      <c r="I1" s="2031"/>
      <c r="J1" s="2031"/>
      <c r="K1" s="2032"/>
      <c r="L1" s="2031"/>
      <c r="M1" s="2031"/>
      <c r="N1" s="2033"/>
      <c r="O1" s="2033"/>
      <c r="P1" s="2033"/>
      <c r="Q1" s="2033"/>
      <c r="R1" s="2033"/>
      <c r="S1" s="2033"/>
      <c r="T1" s="2033"/>
      <c r="U1" s="2033"/>
      <c r="V1" s="2033"/>
      <c r="W1" s="2033"/>
      <c r="X1" s="2033"/>
      <c r="Y1" s="2033"/>
    </row>
    <row r="2" spans="1:25" ht="18" customHeight="1">
      <c r="A2" s="1624" t="s">
        <v>629</v>
      </c>
      <c r="B2" s="772">
        <f ca="1">IF(ISERROR(C45+J31),0,C45+J31)</f>
        <v>0</v>
      </c>
      <c r="C2" s="1343"/>
      <c r="D2" s="2035"/>
      <c r="E2" s="2036"/>
      <c r="F2" s="2036"/>
      <c r="G2" s="1571"/>
      <c r="H2" s="1355"/>
      <c r="I2" s="2037"/>
      <c r="J2" s="2037"/>
      <c r="K2" s="2038"/>
      <c r="L2" s="2037"/>
      <c r="M2" s="2037"/>
    </row>
    <row r="3" spans="1:25" ht="18" customHeight="1">
      <c r="A3" s="1625" t="s">
        <v>1686</v>
      </c>
      <c r="B3" s="1382">
        <f ca="1">ROUND(B2*10000/'数据-汇总表'!E3,0)</f>
        <v>0</v>
      </c>
      <c r="C3" s="1343"/>
      <c r="D3" s="2035"/>
      <c r="E3" s="2036"/>
      <c r="F3" s="2036"/>
      <c r="G3" s="1571"/>
      <c r="H3" s="773" t="s">
        <v>695</v>
      </c>
      <c r="I3" s="2037"/>
      <c r="J3" s="2037"/>
      <c r="K3" s="2038"/>
      <c r="L3" s="2037"/>
      <c r="M3" s="2037"/>
    </row>
    <row r="4" spans="1:25" ht="18" customHeight="1">
      <c r="A4" s="1626" t="s">
        <v>696</v>
      </c>
      <c r="B4" s="1344">
        <f ca="1">ROUND(B2*10000/'数据-汇总表'!D3,0)</f>
        <v>0</v>
      </c>
      <c r="C4" s="425"/>
      <c r="D4" s="2035"/>
      <c r="E4" s="2036"/>
      <c r="F4" s="2036"/>
      <c r="G4" s="1571"/>
      <c r="H4" s="773"/>
      <c r="I4" s="2037"/>
      <c r="J4" s="2037"/>
      <c r="K4" s="2038"/>
      <c r="L4" s="2037"/>
      <c r="M4" s="2037"/>
    </row>
    <row r="5" spans="1:25" ht="18" customHeight="1" thickBot="1">
      <c r="A5" s="1627"/>
      <c r="B5" s="427">
        <f ca="1">ROUND(B2/('数据-汇总表'!D3/666.67),0)</f>
        <v>0</v>
      </c>
      <c r="C5" s="428" t="s">
        <v>697</v>
      </c>
      <c r="D5" s="2035"/>
      <c r="E5" s="2036"/>
      <c r="F5" s="2036"/>
      <c r="G5" s="1571"/>
      <c r="H5" s="773"/>
      <c r="I5" s="2037"/>
      <c r="J5" s="2037"/>
      <c r="K5" s="2038"/>
      <c r="L5" s="2037"/>
      <c r="M5" s="2037"/>
    </row>
    <row r="6" spans="1:25" ht="18" customHeight="1">
      <c r="A6" s="1808" t="s">
        <v>698</v>
      </c>
      <c r="B6" s="1800" t="s">
        <v>699</v>
      </c>
      <c r="C6" s="1800" t="s">
        <v>632</v>
      </c>
      <c r="D6" s="1800" t="s">
        <v>633</v>
      </c>
      <c r="E6" s="776" t="s">
        <v>634</v>
      </c>
      <c r="F6" s="777"/>
      <c r="G6" s="1573"/>
      <c r="H6" s="1808" t="s">
        <v>630</v>
      </c>
      <c r="I6" s="1800" t="s">
        <v>631</v>
      </c>
      <c r="J6" s="1800" t="s">
        <v>632</v>
      </c>
      <c r="K6" s="1800" t="s">
        <v>633</v>
      </c>
      <c r="L6" s="776" t="s">
        <v>634</v>
      </c>
      <c r="M6" s="777"/>
    </row>
    <row r="7" spans="1:25" ht="18" customHeight="1">
      <c r="A7" s="778">
        <v>1</v>
      </c>
      <c r="B7" s="779" t="s">
        <v>2455</v>
      </c>
      <c r="C7" s="53">
        <f ca="1">C8+C12+C14</f>
        <v>0</v>
      </c>
      <c r="D7" s="2455" t="s">
        <v>2458</v>
      </c>
      <c r="E7" s="2449"/>
      <c r="F7" s="2450"/>
      <c r="G7" s="1573"/>
      <c r="H7" s="778">
        <v>1</v>
      </c>
      <c r="I7" s="779" t="s">
        <v>2455</v>
      </c>
      <c r="J7" s="53">
        <f ca="1">J8+J12+J14</f>
        <v>0</v>
      </c>
      <c r="K7" s="2455" t="s">
        <v>2458</v>
      </c>
      <c r="L7" s="2449"/>
      <c r="M7" s="2450"/>
    </row>
    <row r="8" spans="1:25" ht="18" customHeight="1">
      <c r="A8" s="1810" t="s">
        <v>1824</v>
      </c>
      <c r="B8" s="3643" t="s">
        <v>2460</v>
      </c>
      <c r="C8" s="1805">
        <f ca="1">ROUND(F8*F10*F9*(1-F11)/10000,0)</f>
        <v>0</v>
      </c>
      <c r="D8" s="1802" t="s">
        <v>2531</v>
      </c>
      <c r="E8" s="61" t="s">
        <v>637</v>
      </c>
      <c r="F8" s="782">
        <f ca="1">INDIRECT("'数据-取费表'!u"&amp;$G$1)</f>
        <v>0</v>
      </c>
      <c r="G8" s="1573"/>
      <c r="H8" s="2463" t="s">
        <v>1824</v>
      </c>
      <c r="I8" s="3643" t="s">
        <v>2460</v>
      </c>
      <c r="J8" s="780">
        <f ca="1">ROUND(M8*M10*M9*(1-M11)/10000,0)</f>
        <v>0</v>
      </c>
      <c r="K8" s="338" t="s">
        <v>2531</v>
      </c>
      <c r="L8" s="781" t="s">
        <v>1738</v>
      </c>
      <c r="M8" s="782">
        <f ca="1">INDIRECT("'数据-取费表'!z"&amp;$G$1)</f>
        <v>0</v>
      </c>
    </row>
    <row r="9" spans="1:25" ht="18" customHeight="1">
      <c r="A9" s="2459"/>
      <c r="B9" s="3644"/>
      <c r="C9" s="1806"/>
      <c r="D9" s="1803"/>
      <c r="E9" s="61" t="s">
        <v>638</v>
      </c>
      <c r="F9" s="782">
        <f ca="1">IF(INDIRECT("'数据-取费表'!ah"&amp;$G$1)="",INDIRECT("'数据-取费表'!k"&amp;$G$1),INDIRECT("'数据-取费表'!ah"&amp;$G$1))</f>
        <v>0</v>
      </c>
      <c r="G9" s="1573"/>
      <c r="H9" s="2448"/>
      <c r="I9" s="3644"/>
      <c r="J9" s="785"/>
      <c r="K9" s="786"/>
      <c r="L9" s="781" t="s">
        <v>1739</v>
      </c>
      <c r="M9" s="782">
        <f ca="1">F9</f>
        <v>0</v>
      </c>
    </row>
    <row r="10" spans="1:25" ht="18" customHeight="1">
      <c r="A10" s="2452"/>
      <c r="B10" s="3645"/>
      <c r="C10" s="1806"/>
      <c r="D10" s="1803"/>
      <c r="E10" s="61" t="s">
        <v>639</v>
      </c>
      <c r="F10" s="782">
        <f ca="1">INDIRECT("'数据-取费表'!ai"&amp;$G$1)</f>
        <v>0</v>
      </c>
      <c r="G10" s="1573"/>
      <c r="H10" s="2448"/>
      <c r="I10" s="3645"/>
      <c r="J10" s="785"/>
      <c r="K10" s="786"/>
      <c r="L10" s="781" t="s">
        <v>1740</v>
      </c>
      <c r="M10" s="782">
        <f ca="1">INDIRECT("'数据-取费表'!ai"&amp;$G$1)</f>
        <v>0</v>
      </c>
    </row>
    <row r="11" spans="1:25" ht="18" customHeight="1">
      <c r="A11" s="783"/>
      <c r="B11" s="3646"/>
      <c r="C11" s="1806"/>
      <c r="D11" s="1803"/>
      <c r="E11" s="61" t="s">
        <v>640</v>
      </c>
      <c r="F11" s="791">
        <f ca="1">INDIRECT("'数据-取费表'!w"&amp;$G$1)</f>
        <v>0</v>
      </c>
      <c r="G11" s="1573"/>
      <c r="H11" s="2464"/>
      <c r="I11" s="3645"/>
      <c r="J11" s="785"/>
      <c r="K11" s="786"/>
      <c r="L11" s="792" t="s">
        <v>1741</v>
      </c>
      <c r="M11" s="793">
        <f ca="1">INDIRECT("'数据-取费表'!ab"&amp;$G$1)</f>
        <v>0</v>
      </c>
    </row>
    <row r="12" spans="1:25" ht="18" customHeight="1">
      <c r="A12" s="1810" t="s">
        <v>1825</v>
      </c>
      <c r="B12" s="2453" t="s">
        <v>2456</v>
      </c>
      <c r="C12" s="796">
        <f ca="1">ROUND(IF(F12="押一",C8/12*F13,IF(F12="押二",C8/12*2*F13,IF(F12="押三",C8/12*3*F13,C13*F13))),0)</f>
        <v>0</v>
      </c>
      <c r="D12" s="2460" t="s">
        <v>2966</v>
      </c>
      <c r="E12" s="2457" t="s">
        <v>2461</v>
      </c>
      <c r="F12" s="2580"/>
      <c r="G12" s="1573"/>
      <c r="H12" s="2520" t="s">
        <v>1825</v>
      </c>
      <c r="I12" s="2525" t="s">
        <v>2456</v>
      </c>
      <c r="J12" s="780">
        <f ca="1">ROUND(IF(M12="押一",J8/12*M13,IF(M12="押二",J8/12*2*M13,IF(M12="押三",J8/12*3*M13,J13*M13))),0)</f>
        <v>0</v>
      </c>
      <c r="K12" s="2460" t="s">
        <v>2966</v>
      </c>
      <c r="L12" s="2457" t="s">
        <v>2461</v>
      </c>
      <c r="M12" s="2580"/>
    </row>
    <row r="13" spans="1:25" ht="18" customHeight="1">
      <c r="A13" s="787"/>
      <c r="B13" s="2454" t="s">
        <v>2570</v>
      </c>
      <c r="C13" s="2458"/>
      <c r="D13" s="786"/>
      <c r="E13" s="2457" t="s">
        <v>2453</v>
      </c>
      <c r="F13" s="793">
        <f ca="1">'数据-取费表'!B39</f>
        <v>1.4999999999999999E-2</v>
      </c>
      <c r="G13" s="1573"/>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3"/>
      <c r="H14" s="2510" t="s">
        <v>2464</v>
      </c>
      <c r="I14" s="2523" t="s">
        <v>2457</v>
      </c>
      <c r="J14" s="2524"/>
      <c r="K14" s="2499"/>
      <c r="L14" s="2500"/>
      <c r="M14" s="2513"/>
    </row>
    <row r="15" spans="1:25" ht="18" customHeight="1" thickTop="1">
      <c r="A15" s="1809" t="s">
        <v>1874</v>
      </c>
      <c r="B15" s="1807" t="s">
        <v>641</v>
      </c>
      <c r="C15" s="789">
        <f ca="1">ROUND(C31*F15,0)</f>
        <v>0</v>
      </c>
      <c r="D15" s="1814" t="s">
        <v>642</v>
      </c>
      <c r="E15" s="792" t="s">
        <v>643</v>
      </c>
      <c r="F15" s="797">
        <f ca="1">INDIRECT("'数据-取费表'!y"&amp;$G$1)</f>
        <v>0</v>
      </c>
      <c r="G15" s="1573"/>
      <c r="H15" s="1809" t="s">
        <v>1826</v>
      </c>
      <c r="I15" s="1807" t="s">
        <v>644</v>
      </c>
      <c r="J15" s="1799">
        <f ca="1">ROUND(J16*J17,0)</f>
        <v>0</v>
      </c>
      <c r="K15" s="1801" t="s">
        <v>642</v>
      </c>
      <c r="L15" s="798"/>
      <c r="M15" s="799"/>
    </row>
    <row r="16" spans="1:25" ht="18" customHeight="1">
      <c r="A16" s="800" t="s">
        <v>1875</v>
      </c>
      <c r="B16" s="781" t="s">
        <v>645</v>
      </c>
      <c r="C16" s="801">
        <f ca="1">INDIRECT("'数据-取费表'!m"&amp;$G$1)+INDIRECT("'数据-取费表'!t"&amp;$G$1)</f>
        <v>0</v>
      </c>
      <c r="D16" s="1959" t="s">
        <v>646</v>
      </c>
      <c r="E16" s="1960"/>
      <c r="F16" s="802"/>
      <c r="G16" s="1573"/>
      <c r="H16" s="800" t="s">
        <v>2067</v>
      </c>
      <c r="I16" s="2211" t="s">
        <v>2821</v>
      </c>
      <c r="J16" s="53">
        <f ca="1">C31</f>
        <v>0</v>
      </c>
      <c r="K16" s="26"/>
      <c r="L16" s="798"/>
      <c r="M16" s="799"/>
    </row>
    <row r="17" spans="1:25" s="2044"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2"/>
      <c r="M18" s="56"/>
    </row>
    <row r="19" spans="1:25" s="2044" customFormat="1" ht="18" customHeight="1">
      <c r="A19" s="800" t="s">
        <v>1851</v>
      </c>
      <c r="B19" s="781" t="s">
        <v>653</v>
      </c>
      <c r="C19" s="53">
        <f ca="1">ROUND(F19*(INDIRECT("'数据-取费表'!k"&amp;$G$1)+INDIRECT("'数据-取费表'!S"&amp;$G$1))/10000,0)</f>
        <v>0</v>
      </c>
      <c r="D19" s="781" t="s">
        <v>654</v>
      </c>
      <c r="E19" s="781" t="s">
        <v>655</v>
      </c>
      <c r="F19" s="56">
        <f>'数据-取费表'!B35</f>
        <v>200</v>
      </c>
      <c r="G19" s="1574"/>
      <c r="H19" s="800" t="s">
        <v>2067</v>
      </c>
      <c r="I19" s="781" t="s">
        <v>656</v>
      </c>
      <c r="J19" s="53">
        <f ca="1">ROUND(IF(项目基本情况!B11="自然人",J8*M19/(1+'数据-取费表'!C42),J20+J21+J22),0)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1876</v>
      </c>
      <c r="B21" s="781" t="s">
        <v>662</v>
      </c>
      <c r="C21" s="53">
        <f ca="1">SUM(C16:C20)</f>
        <v>0</v>
      </c>
      <c r="D21" s="258" t="s">
        <v>663</v>
      </c>
      <c r="E21" s="1962"/>
      <c r="F21" s="56"/>
      <c r="G21" s="1573"/>
      <c r="H21" s="1810"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4" customFormat="1" ht="18" customHeight="1">
      <c r="A22" s="800" t="s">
        <v>1877</v>
      </c>
      <c r="B22" s="781" t="s">
        <v>666</v>
      </c>
      <c r="C22" s="53">
        <f ca="1">ROUND(C21*F22,0)</f>
        <v>0</v>
      </c>
      <c r="D22" s="809" t="s">
        <v>667</v>
      </c>
      <c r="E22" s="781" t="s">
        <v>649</v>
      </c>
      <c r="F22" s="806">
        <f>'数据-取费表'!B37</f>
        <v>1.4999999999999999E-2</v>
      </c>
      <c r="G22" s="1574"/>
      <c r="H22" s="1812" t="s">
        <v>1850</v>
      </c>
      <c r="I22" s="1802" t="s">
        <v>668</v>
      </c>
      <c r="J22" s="54">
        <f ca="1">ROUND(M22*M23/10000,0)</f>
        <v>0</v>
      </c>
      <c r="K22" s="811" t="s">
        <v>669</v>
      </c>
      <c r="L22" s="781" t="s">
        <v>670</v>
      </c>
      <c r="M22" s="637">
        <f>'数据-取费表'!B52</f>
        <v>1.5</v>
      </c>
      <c r="N22" s="2043"/>
      <c r="O22" s="2043"/>
      <c r="P22" s="2043"/>
      <c r="Q22" s="2043"/>
      <c r="R22" s="2043"/>
      <c r="S22" s="2043"/>
      <c r="T22" s="2043"/>
      <c r="U22" s="2043"/>
      <c r="V22" s="2043"/>
      <c r="W22" s="2043"/>
      <c r="X22" s="2043"/>
      <c r="Y22" s="2043"/>
    </row>
    <row r="23" spans="1:25" s="2044" customFormat="1" ht="18" customHeight="1">
      <c r="A23" s="800" t="s">
        <v>1878</v>
      </c>
      <c r="B23" s="781" t="s">
        <v>671</v>
      </c>
      <c r="C23" s="53" t="s">
        <v>1</v>
      </c>
      <c r="D23" s="809" t="s">
        <v>672</v>
      </c>
      <c r="E23" s="781" t="s">
        <v>673</v>
      </c>
      <c r="F23" s="806">
        <f>'数据-取费表'!B38</f>
        <v>0.01</v>
      </c>
      <c r="G23" s="1574"/>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1879</v>
      </c>
      <c r="B24" s="781" t="s">
        <v>675</v>
      </c>
      <c r="C24" s="53"/>
      <c r="D24" s="2531" t="str">
        <f>IF(F25&lt;=1,"单利计息。","复利计息。")&amp;"建造成本、管理费用、销售费用产生的利息。"</f>
        <v>复利计息。建造成本、管理费用、销售费用产生的利息。</v>
      </c>
      <c r="E24" s="1962"/>
      <c r="F24" s="56"/>
      <c r="G24" s="1573"/>
      <c r="H24" s="1811" t="s">
        <v>2068</v>
      </c>
      <c r="I24" s="781" t="s">
        <v>676</v>
      </c>
      <c r="J24" s="53">
        <f ca="1">ROUND(J16*M24,0)</f>
        <v>0</v>
      </c>
      <c r="K24" s="1957" t="s">
        <v>677</v>
      </c>
      <c r="L24" s="781" t="s">
        <v>649</v>
      </c>
      <c r="M24" s="814">
        <f ca="1">INDIRECT("'数据-取费表'!Ak"&amp;$G$1)</f>
        <v>0</v>
      </c>
    </row>
    <row r="25" spans="1:25" s="2044" customFormat="1" ht="18" customHeight="1">
      <c r="A25" s="800" t="s">
        <v>1875</v>
      </c>
      <c r="B25" s="781" t="s">
        <v>2435</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2</v>
      </c>
      <c r="G25" s="1574"/>
      <c r="H25" s="800" t="s">
        <v>1878</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1849</v>
      </c>
      <c r="B26" s="781" t="s">
        <v>681</v>
      </c>
      <c r="C26" s="53">
        <f ca="1">ROUND(IF('数据-取费表'!B22&lt;=1,F23*F26*F25/2,F23*(POWER((1+F26),F25/2)-1)),4)</f>
        <v>5.0000000000000001E-4</v>
      </c>
      <c r="D26" s="2530"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1881</v>
      </c>
      <c r="B27" s="781" t="s">
        <v>684</v>
      </c>
      <c r="C27" s="53"/>
      <c r="D27" s="258" t="s">
        <v>685</v>
      </c>
      <c r="E27" s="1962"/>
      <c r="F27" s="56"/>
      <c r="G27" s="1573"/>
      <c r="H27" s="794" t="s">
        <v>1828</v>
      </c>
      <c r="I27" s="2957" t="s">
        <v>2818</v>
      </c>
      <c r="J27" s="796">
        <f ca="1">J7-J18</f>
        <v>0</v>
      </c>
      <c r="K27" s="1959" t="s">
        <v>700</v>
      </c>
      <c r="L27" s="1961"/>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4" customFormat="1" ht="18" customHeight="1">
      <c r="A30" s="800" t="s">
        <v>1882</v>
      </c>
      <c r="B30" s="781" t="s">
        <v>687</v>
      </c>
      <c r="C30" s="53">
        <f>ROUND(F30/(1+'数据-取费表'!C42),4)</f>
        <v>5.2400000000000002E-2</v>
      </c>
      <c r="D30" s="809" t="s">
        <v>709</v>
      </c>
      <c r="E30" s="781" t="s">
        <v>649</v>
      </c>
      <c r="F30" s="806">
        <f>'数据-取费表'!B41</f>
        <v>5.5000000000000007E-2</v>
      </c>
      <c r="G30" s="1574"/>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2819</v>
      </c>
      <c r="C31" s="2503">
        <f ca="1">ROUND((C21+C22+C25+C28)/(1-F23-C26-C29-C30),0)</f>
        <v>0</v>
      </c>
      <c r="D31" s="2504"/>
      <c r="E31" s="2505"/>
      <c r="F31" s="2506"/>
      <c r="G31" s="1574"/>
      <c r="H31" s="820" t="s">
        <v>1872</v>
      </c>
      <c r="I31" s="2958" t="s">
        <v>2820</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1876</v>
      </c>
      <c r="B33" s="781" t="s">
        <v>656</v>
      </c>
      <c r="C33" s="53">
        <f ca="1">ROUND(IF(项目基本情况!B11="自然人",C8*F33/(1+'数据-取费表'!C42),C34+C35+C36),1)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1875</v>
      </c>
      <c r="B34" s="781" t="s">
        <v>660</v>
      </c>
      <c r="C34" s="53">
        <f ca="1">ROUND(C8*F34/(1+'数据-取费表'!C42),1)</f>
        <v>0</v>
      </c>
      <c r="D34" s="1957" t="s">
        <v>661</v>
      </c>
      <c r="E34" s="781" t="s">
        <v>649</v>
      </c>
      <c r="F34" s="806">
        <f>'数据-取费表'!B41</f>
        <v>5.5000000000000007E-2</v>
      </c>
      <c r="G34" s="2042"/>
      <c r="H34" s="2051"/>
      <c r="I34" s="2052"/>
      <c r="J34" s="2053"/>
      <c r="K34" s="2054"/>
      <c r="L34" s="2055"/>
      <c r="M34" s="2056"/>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2"/>
      <c r="H35" s="2057"/>
      <c r="I35" s="2057"/>
      <c r="J35" s="2057"/>
      <c r="K35" s="2058"/>
      <c r="L35" s="2057"/>
      <c r="M35" s="2057"/>
    </row>
    <row r="36" spans="1:18" ht="18" customHeight="1">
      <c r="A36" s="810" t="s">
        <v>1880</v>
      </c>
      <c r="B36" s="338" t="s">
        <v>668</v>
      </c>
      <c r="C36" s="54">
        <f ca="1">ROUND(F36*F37/10000,1)</f>
        <v>0</v>
      </c>
      <c r="D36" s="811" t="s">
        <v>669</v>
      </c>
      <c r="E36" s="781" t="s">
        <v>670</v>
      </c>
      <c r="F36" s="637">
        <f>'数据-取费表'!B52</f>
        <v>1.5</v>
      </c>
      <c r="G36" s="2042"/>
      <c r="H36" s="2045"/>
      <c r="I36" s="3660"/>
      <c r="J36" s="2059"/>
      <c r="K36" s="2060"/>
      <c r="L36" s="2059"/>
      <c r="M36" s="2059"/>
    </row>
    <row r="37" spans="1:18" ht="18" customHeight="1">
      <c r="A37" s="812"/>
      <c r="B37" s="790"/>
      <c r="C37" s="69"/>
      <c r="D37" s="813"/>
      <c r="E37" s="781" t="s">
        <v>674</v>
      </c>
      <c r="F37" s="782">
        <f ca="1">INDIRECT("'数据-取费表'!r"&amp;$G$1)</f>
        <v>0</v>
      </c>
      <c r="G37" s="2042"/>
      <c r="H37" s="2045"/>
      <c r="I37" s="3660"/>
      <c r="J37" s="2057"/>
      <c r="K37" s="2058"/>
      <c r="L37" s="2057"/>
      <c r="M37" s="2057"/>
    </row>
    <row r="38" spans="1:18" ht="18" customHeight="1">
      <c r="A38" s="800" t="s">
        <v>1877</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1878</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1876</v>
      </c>
      <c r="B42" s="832" t="s">
        <v>693</v>
      </c>
      <c r="C42" s="826">
        <f ca="1">C7-C32</f>
        <v>0</v>
      </c>
      <c r="D42" s="1959" t="s">
        <v>694</v>
      </c>
      <c r="E42" s="1961"/>
      <c r="F42" s="817"/>
      <c r="G42" s="2042"/>
      <c r="H42" s="2042"/>
      <c r="I42" s="2042"/>
      <c r="J42" s="2042"/>
      <c r="K42" s="2063"/>
      <c r="L42" s="2042"/>
      <c r="M42" s="2042"/>
    </row>
    <row r="43" spans="1:18" ht="18" customHeight="1">
      <c r="A43" s="800" t="s">
        <v>1877</v>
      </c>
      <c r="B43" s="832" t="s">
        <v>711</v>
      </c>
      <c r="C43" s="833">
        <f ca="1">ROUND(C15*F43,0)</f>
        <v>0</v>
      </c>
      <c r="D43" s="1348" t="s">
        <v>712</v>
      </c>
      <c r="E43" s="3060" t="s">
        <v>2954</v>
      </c>
      <c r="F43" s="3061">
        <f ca="1">INDIRECT("'数据-取费表'!j"&amp;$G$1)</f>
        <v>0</v>
      </c>
      <c r="G43" s="2042"/>
      <c r="H43" s="2042"/>
      <c r="I43" s="2042"/>
      <c r="J43" s="2042"/>
      <c r="K43" s="2063"/>
      <c r="L43" s="2042"/>
      <c r="M43" s="2042"/>
    </row>
    <row r="44" spans="1:18" ht="18" customHeight="1">
      <c r="A44" s="800" t="s">
        <v>1878</v>
      </c>
      <c r="B44" s="832" t="s">
        <v>713</v>
      </c>
      <c r="C44" s="1349">
        <f ca="1">C42-C43</f>
        <v>0</v>
      </c>
      <c r="D44" s="460" t="s">
        <v>714</v>
      </c>
      <c r="E44" s="461"/>
      <c r="F44" s="462"/>
      <c r="G44" s="2042"/>
      <c r="H44" s="2042"/>
      <c r="I44" s="2042"/>
      <c r="J44" s="2042"/>
      <c r="K44" s="2063"/>
      <c r="L44" s="2042"/>
      <c r="M44" s="2042"/>
    </row>
    <row r="45" spans="1:18" ht="18" customHeight="1">
      <c r="A45" s="800" t="s">
        <v>1879</v>
      </c>
      <c r="B45" s="1348" t="s">
        <v>715</v>
      </c>
      <c r="C45" s="2978">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2"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2341</v>
      </c>
      <c r="J47" s="2338"/>
      <c r="K47" s="2339"/>
      <c r="L47" s="3094" t="str">
        <f ca="1">IF(M48="住宅",0,IF(L49&gt;J52,L61,J61))</f>
        <v>0</v>
      </c>
      <c r="O47" s="2353" t="s">
        <v>2408</v>
      </c>
      <c r="P47" s="1573"/>
      <c r="Q47" s="1584"/>
      <c r="R47" s="1573"/>
    </row>
    <row r="48" spans="1:18" s="2039" customFormat="1" ht="18" customHeight="1" thickBot="1">
      <c r="A48" s="2064"/>
      <c r="C48" s="2067"/>
      <c r="D48" s="2068"/>
      <c r="E48" s="2068"/>
      <c r="F48" s="2069"/>
      <c r="G48" s="2070"/>
      <c r="I48" s="3085" t="s">
        <v>2342</v>
      </c>
      <c r="J48" s="2340"/>
      <c r="K48" s="3091" t="s">
        <v>2347</v>
      </c>
      <c r="L48" s="3095">
        <f ca="1">INDIRECT("'数据-取费表'!d"&amp;$G$1)</f>
        <v>0</v>
      </c>
      <c r="M48" s="3059" t="str">
        <f>IF(ISNUMBER(FIND("住宅",C1)),"住宅","非住宅")</f>
        <v>非住宅</v>
      </c>
      <c r="O48" s="2354" t="s">
        <v>2373</v>
      </c>
      <c r="P48" s="2355" t="s">
        <v>2374</v>
      </c>
      <c r="Q48" s="2356" t="s">
        <v>2375</v>
      </c>
      <c r="R48" s="2355" t="s">
        <v>2376</v>
      </c>
    </row>
    <row r="49" spans="1:18" s="2039" customFormat="1" ht="18" customHeight="1" thickBot="1">
      <c r="A49" s="2064"/>
      <c r="D49" s="2071"/>
      <c r="E49" s="2072"/>
      <c r="F49" s="2069"/>
      <c r="G49" s="2070"/>
      <c r="H49" s="2073"/>
      <c r="I49" s="3064" t="s">
        <v>2343</v>
      </c>
      <c r="J49" s="2341"/>
      <c r="K49" s="3092" t="s">
        <v>2349</v>
      </c>
      <c r="L49" s="1888">
        <f ca="1">INDIRECT("'数据-取费表'!f"&amp;$G$1)</f>
        <v>0</v>
      </c>
      <c r="O49" s="2357" t="s">
        <v>2377</v>
      </c>
      <c r="P49" s="2358" t="s">
        <v>2403</v>
      </c>
      <c r="Q49" s="2359">
        <f ca="1">C41+J31</f>
        <v>0</v>
      </c>
      <c r="R49" s="2358" t="s">
        <v>2378</v>
      </c>
    </row>
    <row r="50" spans="1:18" s="2039" customFormat="1" ht="18" customHeight="1" thickBot="1">
      <c r="A50" s="2064"/>
      <c r="D50" s="2074"/>
      <c r="E50" s="2074"/>
      <c r="F50" s="2068"/>
      <c r="G50" s="2075"/>
      <c r="H50" s="2073"/>
      <c r="I50" s="3064" t="s">
        <v>2344</v>
      </c>
      <c r="J50" s="2342"/>
      <c r="K50" s="3093" t="s">
        <v>2350</v>
      </c>
      <c r="L50" s="2343"/>
      <c r="O50" s="2357" t="s">
        <v>2379</v>
      </c>
      <c r="P50" s="2358" t="s">
        <v>2404</v>
      </c>
      <c r="Q50" s="2359" t="str">
        <f ca="1">J61</f>
        <v>0</v>
      </c>
      <c r="R50" s="2358" t="s">
        <v>2380</v>
      </c>
    </row>
    <row r="51" spans="1:18" s="2039" customFormat="1" ht="18" customHeight="1" thickBot="1">
      <c r="A51" s="2076"/>
      <c r="D51" s="2074"/>
      <c r="E51" s="2074"/>
      <c r="F51" s="2065"/>
      <c r="H51" s="2073"/>
      <c r="I51" s="3064" t="s">
        <v>2345</v>
      </c>
      <c r="J51" s="3089">
        <f>SUMPRODUCT((I64:I66=J48)*(J63:L63=J49)*(J64:L66))</f>
        <v>0</v>
      </c>
      <c r="K51" s="3093" t="s">
        <v>2351</v>
      </c>
      <c r="L51" s="2343"/>
      <c r="O51" s="2360" t="s">
        <v>2381</v>
      </c>
      <c r="P51" s="2358" t="s">
        <v>2405</v>
      </c>
      <c r="Q51" s="2359">
        <f ca="1">C31</f>
        <v>0</v>
      </c>
      <c r="R51" s="2358" t="s">
        <v>2378</v>
      </c>
    </row>
    <row r="52" spans="1:18" s="2039" customFormat="1" ht="18" customHeight="1" thickBot="1">
      <c r="A52" s="2076"/>
      <c r="F52" s="2065"/>
      <c r="I52" s="3086" t="s">
        <v>2346</v>
      </c>
      <c r="J52" s="3090">
        <f>IF(J50="",J51,J50+J51-YEAR('数据-取费表'!B3))</f>
        <v>0</v>
      </c>
      <c r="K52" s="3064" t="s">
        <v>2352</v>
      </c>
      <c r="L52" s="3096">
        <f ca="1">ROUND(-PV(INDIRECT("'数据-取费表'!h"&amp;$G$1),L49,(C40-C14*J36),0),0)</f>
        <v>0</v>
      </c>
      <c r="O52" s="2360" t="s">
        <v>2382</v>
      </c>
      <c r="P52" s="2358" t="s">
        <v>2383</v>
      </c>
      <c r="Q52" s="2361" t="e">
        <f ca="1">J59</f>
        <v>#VALUE!</v>
      </c>
      <c r="R52" s="2362"/>
    </row>
    <row r="53" spans="1:18" s="2039" customFormat="1" ht="18" customHeight="1" thickBot="1">
      <c r="A53" s="2076"/>
      <c r="F53" s="2065"/>
      <c r="I53" s="3087" t="s">
        <v>2419</v>
      </c>
      <c r="J53" s="2344"/>
      <c r="K53" s="3087" t="s">
        <v>2418</v>
      </c>
      <c r="L53" s="2344"/>
      <c r="O53" s="2360" t="s">
        <v>2384</v>
      </c>
      <c r="P53" s="2358" t="s">
        <v>2385</v>
      </c>
      <c r="Q53" s="2361">
        <f>J53</f>
        <v>0</v>
      </c>
      <c r="R53" s="2362"/>
    </row>
    <row r="54" spans="1:18" s="2039" customFormat="1" ht="31.8" thickBot="1">
      <c r="A54" s="2076"/>
      <c r="I54" s="3088" t="s">
        <v>2970</v>
      </c>
      <c r="J54" s="3167">
        <f ca="1">IF(M48="住宅",MAX(J52,L49-'数据-取费表'!B20),MIN(J52,L49-'数据-取费表'!B20))</f>
        <v>-2</v>
      </c>
      <c r="K54" s="3661"/>
      <c r="L54" s="3662"/>
      <c r="O54" s="2360" t="s">
        <v>2386</v>
      </c>
      <c r="P54" s="2358" t="s">
        <v>2387</v>
      </c>
      <c r="Q54" s="2359">
        <f ca="1">J54</f>
        <v>-2</v>
      </c>
      <c r="R54" s="2358" t="s">
        <v>2388</v>
      </c>
    </row>
    <row r="55" spans="1:18" s="2039" customFormat="1" ht="18" customHeight="1" thickBot="1">
      <c r="A55" s="2076"/>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57" t="s">
        <v>2389</v>
      </c>
      <c r="P55" s="2358" t="s">
        <v>2406</v>
      </c>
      <c r="Q55" s="2359">
        <f ca="1">Q49+Q50</f>
        <v>0</v>
      </c>
      <c r="R55" s="2362" t="s">
        <v>2390</v>
      </c>
    </row>
    <row r="56" spans="1:18" s="2039" customFormat="1" ht="16.2" thickBot="1">
      <c r="A56" s="2076"/>
      <c r="B56" s="2077"/>
      <c r="C56" s="2077"/>
      <c r="I56" s="3099" t="s">
        <v>2353</v>
      </c>
      <c r="J56" s="3039" t="e">
        <f ca="1">ROUND(IF(J48="钢混",J58/J51,1-(1-2%)*(J51-J58)/J51),3)</f>
        <v>#VALUE!</v>
      </c>
      <c r="K56" s="3100" t="s">
        <v>2354</v>
      </c>
      <c r="L56" s="2345"/>
      <c r="O56" s="2363" t="s">
        <v>2409</v>
      </c>
      <c r="P56" s="1573"/>
      <c r="Q56" s="1584"/>
      <c r="R56" s="1573"/>
    </row>
    <row r="57" spans="1:18" s="2039" customFormat="1" ht="47.4" thickBot="1">
      <c r="A57" s="2076"/>
      <c r="B57" s="2077"/>
      <c r="C57" s="2077"/>
      <c r="I57" s="3101" t="s">
        <v>2355</v>
      </c>
      <c r="J57" s="3111" t="s">
        <v>1678</v>
      </c>
      <c r="K57" s="3064" t="s">
        <v>2360</v>
      </c>
      <c r="L57" s="1888">
        <f ca="1">IF(L49&lt;J52,"——",L49-J52)</f>
        <v>0</v>
      </c>
      <c r="O57" s="2354" t="s">
        <v>2373</v>
      </c>
      <c r="P57" s="2355" t="s">
        <v>2374</v>
      </c>
      <c r="Q57" s="2356" t="s">
        <v>2375</v>
      </c>
      <c r="R57" s="2355" t="s">
        <v>2376</v>
      </c>
    </row>
    <row r="58" spans="1:18" s="2039" customFormat="1" ht="31.8" thickBot="1">
      <c r="A58" s="2076"/>
      <c r="B58" s="2077"/>
      <c r="C58" s="2077"/>
      <c r="I58" s="3102" t="s">
        <v>2356</v>
      </c>
      <c r="J58" s="3103" t="str">
        <f ca="1">IF(OR(M48="住宅",J52&lt;L49,J57="是"),"——",J52-L49)</f>
        <v>——</v>
      </c>
      <c r="K58" s="3064" t="s">
        <v>2361</v>
      </c>
      <c r="L58" s="1888">
        <f ca="1">IF(L49&lt;J52,"——",IF(L56="比较法",L50,IF(L56="基准地价",L51,L52)))</f>
        <v>0</v>
      </c>
      <c r="O58" s="2357" t="s">
        <v>2377</v>
      </c>
      <c r="P58" s="2358" t="s">
        <v>2403</v>
      </c>
      <c r="Q58" s="2359">
        <f ca="1">C41+J31</f>
        <v>0</v>
      </c>
      <c r="R58" s="2358" t="s">
        <v>2378</v>
      </c>
    </row>
    <row r="59" spans="1:18" s="2039" customFormat="1" ht="31.8" thickBot="1">
      <c r="A59" s="2076"/>
      <c r="B59" s="2077"/>
      <c r="C59" s="2077"/>
      <c r="I59" s="3102" t="s">
        <v>2357</v>
      </c>
      <c r="J59" s="3040" t="e">
        <f ca="1">IF(J56&lt;0.4,0.4,J56)</f>
        <v>#VALUE!</v>
      </c>
      <c r="K59" s="3064" t="s">
        <v>2362</v>
      </c>
      <c r="L59" s="1888">
        <f ca="1">IF(ISERROR(POWER(1+L53,L48-L49)*(POWER(1+L53,L49)-1)/(POWER(1+L53,L48)-1)),0,POWER(1+L53,L48-L49)*(POWER(1+L53,L49)-1)/(POWER(1+L53,L48)-1))</f>
        <v>0</v>
      </c>
      <c r="O59" s="2357" t="s">
        <v>2379</v>
      </c>
      <c r="P59" s="2358" t="s">
        <v>2410</v>
      </c>
      <c r="Q59" s="2359" t="e">
        <f ca="1">L61</f>
        <v>#DIV/0!</v>
      </c>
      <c r="R59" s="2362" t="s">
        <v>2412</v>
      </c>
    </row>
    <row r="60" spans="1:18" s="2039" customFormat="1" ht="31.8" thickBot="1">
      <c r="A60" s="2076"/>
      <c r="B60" s="2077"/>
      <c r="C60" s="2077"/>
      <c r="I60" s="3102" t="s">
        <v>2358</v>
      </c>
      <c r="J60" s="3103" t="str">
        <f ca="1">IF(OR(M48="住宅",J52&lt;L49,J57="是"),"——",ROUND(C30*J59,0))</f>
        <v>——</v>
      </c>
      <c r="K60" s="3064" t="s">
        <v>2363</v>
      </c>
      <c r="L60" s="1888">
        <f ca="1">IF(ISERROR(POWER(1+L53,L48-J52)*(POWER(1+L53,J52)-1)/(POWER(1+L53,L48)-1)),0,POWER(1+L53,L48-J52)*(POWER(1+L53,J52)-1)/(POWER(1+L53,L48)-1))</f>
        <v>0</v>
      </c>
      <c r="O60" s="2360" t="s">
        <v>2381</v>
      </c>
      <c r="P60" s="2358" t="s">
        <v>2411</v>
      </c>
      <c r="Q60" s="2359">
        <f>IF(L56="比较法",L50,IF(L56="基准地价",L51,0))</f>
        <v>0</v>
      </c>
      <c r="R60" s="2358" t="s">
        <v>2378</v>
      </c>
    </row>
    <row r="61" spans="1:18" s="2039" customFormat="1" ht="16.2" thickBot="1">
      <c r="A61" s="2076"/>
      <c r="B61" s="2077"/>
      <c r="C61" s="2077"/>
      <c r="I61" s="3104" t="s">
        <v>2359</v>
      </c>
      <c r="J61" s="3105" t="str">
        <f ca="1">IF(OR(M48="住宅",J52&lt;L49,J57="是"),"0",ROUND(J60/(1+J53)^J54,0))</f>
        <v>0</v>
      </c>
      <c r="K61" s="3106" t="s">
        <v>2364</v>
      </c>
      <c r="L61" s="3105" t="e">
        <f ca="1">IF(OR(M48="住宅",L49&lt;J52),0,ROUND(L58*(L59/L60-1),0))</f>
        <v>#DIV/0!</v>
      </c>
      <c r="O61" s="2360" t="s">
        <v>2382</v>
      </c>
      <c r="P61" s="2358" t="s">
        <v>2391</v>
      </c>
      <c r="Q61" s="2361">
        <f>L53</f>
        <v>0</v>
      </c>
      <c r="R61" s="2362"/>
    </row>
    <row r="62" spans="1:18" s="2039" customFormat="1" ht="19.2" thickBot="1">
      <c r="A62" s="2076"/>
      <c r="B62" s="2077"/>
      <c r="C62" s="2077"/>
      <c r="K62" s="2066"/>
      <c r="O62" s="2360" t="s">
        <v>2384</v>
      </c>
      <c r="P62" s="2358" t="s">
        <v>2392</v>
      </c>
      <c r="Q62" s="2359">
        <f ca="1">L59</f>
        <v>0</v>
      </c>
      <c r="R62" s="2362" t="s">
        <v>2393</v>
      </c>
    </row>
    <row r="63" spans="1:18" s="2039" customFormat="1" ht="19.2" thickBot="1">
      <c r="A63" s="2076"/>
      <c r="B63" s="2077"/>
      <c r="C63" s="2077"/>
      <c r="I63" s="3107" t="s">
        <v>2365</v>
      </c>
      <c r="J63" s="3108" t="s">
        <v>2366</v>
      </c>
      <c r="K63" s="3108" t="s">
        <v>2367</v>
      </c>
      <c r="L63" s="3108" t="s">
        <v>2348</v>
      </c>
      <c r="M63" s="3109" t="s">
        <v>2935</v>
      </c>
      <c r="O63" s="2360" t="s">
        <v>2386</v>
      </c>
      <c r="P63" s="2358" t="s">
        <v>2394</v>
      </c>
      <c r="Q63" s="2359">
        <f ca="1">L60</f>
        <v>0</v>
      </c>
      <c r="R63" s="2362" t="s">
        <v>2395</v>
      </c>
    </row>
    <row r="64" spans="1:18" s="2039" customFormat="1" ht="16.2" thickBot="1">
      <c r="A64" s="2076"/>
      <c r="B64" s="2077"/>
      <c r="C64" s="2077"/>
      <c r="I64" s="3107" t="s">
        <v>2368</v>
      </c>
      <c r="J64" s="3108">
        <v>70</v>
      </c>
      <c r="K64" s="3108">
        <v>50</v>
      </c>
      <c r="L64" s="3108">
        <v>80</v>
      </c>
      <c r="M64" s="3110">
        <v>0.02</v>
      </c>
      <c r="O64" s="2357" t="s">
        <v>2389</v>
      </c>
      <c r="P64" s="2358" t="s">
        <v>2406</v>
      </c>
      <c r="Q64" s="2359" t="e">
        <f ca="1">Q58+Q59</f>
        <v>#DIV/0!</v>
      </c>
      <c r="R64" s="2362" t="s">
        <v>2390</v>
      </c>
    </row>
    <row r="65" spans="1:18" s="2039" customFormat="1" ht="16.2" thickBot="1">
      <c r="A65" s="2076"/>
      <c r="B65" s="2077"/>
      <c r="C65" s="2077"/>
      <c r="I65" s="3107" t="s">
        <v>2369</v>
      </c>
      <c r="J65" s="3108">
        <v>50</v>
      </c>
      <c r="K65" s="3108">
        <v>35</v>
      </c>
      <c r="L65" s="3108">
        <v>60</v>
      </c>
      <c r="M65" s="843">
        <v>0</v>
      </c>
      <c r="O65" s="2363" t="s">
        <v>2413</v>
      </c>
      <c r="P65" s="1573"/>
      <c r="Q65" s="1584"/>
      <c r="R65" s="1573"/>
    </row>
    <row r="66" spans="1:18" s="2039" customFormat="1" ht="16.2" thickBot="1">
      <c r="A66" s="2076"/>
      <c r="B66" s="2077"/>
      <c r="C66" s="2077"/>
      <c r="I66" s="3107" t="s">
        <v>2370</v>
      </c>
      <c r="J66" s="3108">
        <v>40</v>
      </c>
      <c r="K66" s="3108">
        <v>30</v>
      </c>
      <c r="L66" s="3108">
        <v>50</v>
      </c>
      <c r="M66" s="3110">
        <v>0.02</v>
      </c>
      <c r="O66" s="2354" t="s">
        <v>2373</v>
      </c>
      <c r="P66" s="2355" t="s">
        <v>2374</v>
      </c>
      <c r="Q66" s="2356" t="s">
        <v>2375</v>
      </c>
      <c r="R66" s="2355" t="s">
        <v>2376</v>
      </c>
    </row>
    <row r="67" spans="1:18" s="2039" customFormat="1" ht="16.2" thickBot="1">
      <c r="A67" s="2076"/>
      <c r="B67" s="2077"/>
      <c r="C67" s="2077"/>
      <c r="K67" s="2066"/>
      <c r="O67" s="2357" t="s">
        <v>2377</v>
      </c>
      <c r="P67" s="2358" t="s">
        <v>2403</v>
      </c>
      <c r="Q67" s="2359">
        <f ca="1">C41+J31</f>
        <v>0</v>
      </c>
      <c r="R67" s="2358" t="s">
        <v>2378</v>
      </c>
    </row>
    <row r="68" spans="1:18" s="2039" customFormat="1" ht="19.2" thickBot="1">
      <c r="A68" s="2076"/>
      <c r="B68" s="2077"/>
      <c r="C68" s="2077"/>
      <c r="K68" s="2066"/>
      <c r="O68" s="2357" t="s">
        <v>2379</v>
      </c>
      <c r="P68" s="2358" t="s">
        <v>2410</v>
      </c>
      <c r="Q68" s="2359" t="e">
        <f ca="1">L61</f>
        <v>#DIV/0!</v>
      </c>
      <c r="R68" s="2362" t="s">
        <v>2412</v>
      </c>
    </row>
    <row r="69" spans="1:18" s="2039" customFormat="1" ht="20.399999999999999" thickBot="1">
      <c r="A69" s="2076"/>
      <c r="B69" s="2077"/>
      <c r="C69" s="2077"/>
      <c r="K69" s="2066"/>
      <c r="O69" s="2360" t="s">
        <v>2381</v>
      </c>
      <c r="P69" s="2358" t="s">
        <v>2411</v>
      </c>
      <c r="Q69" s="2364">
        <f ca="1">L52</f>
        <v>0</v>
      </c>
      <c r="R69" s="2365" t="s">
        <v>2414</v>
      </c>
    </row>
    <row r="70" spans="1:18" s="2039" customFormat="1" ht="19.2" thickBot="1">
      <c r="A70" s="2076"/>
      <c r="B70" s="2077"/>
      <c r="C70" s="2077"/>
      <c r="K70" s="2066"/>
      <c r="O70" s="2360" t="s">
        <v>2382</v>
      </c>
      <c r="P70" s="2366" t="s">
        <v>2396</v>
      </c>
      <c r="Q70" s="2359">
        <f ca="1">ROUND(Q71-Q72*Q73,0)</f>
        <v>0</v>
      </c>
      <c r="R70" s="2362"/>
    </row>
    <row r="71" spans="1:18" s="2039" customFormat="1" ht="16.2" thickBot="1">
      <c r="A71" s="2076"/>
      <c r="B71" s="2077"/>
      <c r="C71" s="2077"/>
      <c r="K71" s="2066"/>
      <c r="O71" s="2360" t="s">
        <v>2397</v>
      </c>
      <c r="P71" s="2366" t="s">
        <v>2398</v>
      </c>
      <c r="Q71" s="2359">
        <f ca="1">C42</f>
        <v>0</v>
      </c>
      <c r="R71" s="2358" t="s">
        <v>2378</v>
      </c>
    </row>
    <row r="72" spans="1:18" s="2039" customFormat="1" ht="16.2" thickBot="1">
      <c r="A72" s="2076"/>
      <c r="B72" s="2077"/>
      <c r="C72" s="2077"/>
      <c r="K72" s="2066"/>
      <c r="O72" s="2360" t="s">
        <v>2399</v>
      </c>
      <c r="P72" s="2366" t="s">
        <v>2400</v>
      </c>
      <c r="Q72" s="2359">
        <f ca="1">C15</f>
        <v>0</v>
      </c>
      <c r="R72" s="2358" t="s">
        <v>2378</v>
      </c>
    </row>
    <row r="73" spans="1:18" s="2039" customFormat="1" ht="16.2" thickBot="1">
      <c r="A73" s="2076"/>
      <c r="B73" s="2077"/>
      <c r="C73" s="2077"/>
      <c r="K73" s="2066"/>
      <c r="O73" s="2360" t="s">
        <v>2401</v>
      </c>
      <c r="P73" s="2366" t="s">
        <v>2402</v>
      </c>
      <c r="Q73" s="2361">
        <f ca="1">F43</f>
        <v>0</v>
      </c>
      <c r="R73" s="2362"/>
    </row>
    <row r="74" spans="1:18" s="2039" customFormat="1" ht="16.2" thickBot="1">
      <c r="A74" s="2076"/>
      <c r="B74" s="2077"/>
      <c r="C74" s="2077"/>
      <c r="K74" s="2066"/>
      <c r="O74" s="2360" t="s">
        <v>2384</v>
      </c>
      <c r="P74" s="2358" t="s">
        <v>2391</v>
      </c>
      <c r="Q74" s="2361">
        <f>L53</f>
        <v>0</v>
      </c>
      <c r="R74" s="2362"/>
    </row>
    <row r="75" spans="1:18" s="2039" customFormat="1" ht="19.2" thickBot="1">
      <c r="A75" s="2076"/>
      <c r="B75" s="2077"/>
      <c r="C75" s="2077"/>
      <c r="K75" s="2066"/>
      <c r="O75" s="2360" t="s">
        <v>2386</v>
      </c>
      <c r="P75" s="2358" t="s">
        <v>2392</v>
      </c>
      <c r="Q75" s="2359">
        <f ca="1">L59</f>
        <v>0</v>
      </c>
      <c r="R75" s="2362" t="s">
        <v>2393</v>
      </c>
    </row>
    <row r="76" spans="1:18" s="2039" customFormat="1" ht="19.2" thickBot="1">
      <c r="A76" s="2076"/>
      <c r="B76" s="2077"/>
      <c r="C76" s="2077"/>
      <c r="K76" s="2066"/>
      <c r="O76" s="2360" t="s">
        <v>2415</v>
      </c>
      <c r="P76" s="2358" t="s">
        <v>2394</v>
      </c>
      <c r="Q76" s="2359">
        <f ca="1">L60</f>
        <v>0</v>
      </c>
      <c r="R76" s="2362" t="s">
        <v>2395</v>
      </c>
    </row>
    <row r="77" spans="1:18" s="2039" customFormat="1" ht="16.2" thickBot="1">
      <c r="A77" s="2076"/>
      <c r="B77" s="2077"/>
      <c r="C77" s="2077"/>
      <c r="K77" s="2066"/>
      <c r="O77" s="2357" t="s">
        <v>2389</v>
      </c>
      <c r="P77" s="2358" t="s">
        <v>2406</v>
      </c>
      <c r="Q77" s="2359" t="e">
        <f ca="1">Q67+Q68</f>
        <v>#DIV/0!</v>
      </c>
      <c r="R77" s="2362" t="s">
        <v>2390</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63" t="s">
        <v>2468</v>
      </c>
      <c r="B1" s="3664"/>
      <c r="C1" s="3665"/>
      <c r="D1" s="3666">
        <f>SUM(I10,I15,I20,I21,I23)</f>
        <v>0</v>
      </c>
      <c r="E1" s="3666"/>
      <c r="F1" s="3666"/>
      <c r="G1" s="3666"/>
      <c r="H1" s="3666"/>
      <c r="I1" s="3667"/>
    </row>
    <row r="2" spans="1:9">
      <c r="A2" s="3668" t="s">
        <v>2469</v>
      </c>
      <c r="B2" s="3669" t="s">
        <v>2470</v>
      </c>
      <c r="C2" s="3669"/>
      <c r="D2" s="2466" t="s">
        <v>2471</v>
      </c>
      <c r="E2" s="2466" t="s">
        <v>2472</v>
      </c>
      <c r="F2" s="2466" t="s">
        <v>2473</v>
      </c>
      <c r="G2" s="2466" t="s">
        <v>2474</v>
      </c>
      <c r="H2" s="2466" t="s">
        <v>2475</v>
      </c>
      <c r="I2" s="2467" t="s">
        <v>2476</v>
      </c>
    </row>
    <row r="3" spans="1:9">
      <c r="A3" s="3668"/>
      <c r="B3" s="3669" t="s">
        <v>2477</v>
      </c>
      <c r="C3" s="3669"/>
      <c r="D3" s="2468"/>
      <c r="E3" s="2466"/>
      <c r="F3" s="2469"/>
      <c r="G3" s="2469"/>
      <c r="H3" s="2470"/>
      <c r="I3" s="2471">
        <f>ROUND(D3*E3*F3*G3*H3/10000,0)</f>
        <v>0</v>
      </c>
    </row>
    <row r="4" spans="1:9">
      <c r="A4" s="3668"/>
      <c r="B4" s="3669" t="s">
        <v>2478</v>
      </c>
      <c r="C4" s="3669"/>
      <c r="D4" s="2468"/>
      <c r="E4" s="2466"/>
      <c r="F4" s="2469"/>
      <c r="G4" s="2469"/>
      <c r="H4" s="2470"/>
      <c r="I4" s="2471">
        <f t="shared" ref="I4:I9" si="0">ROUND(D4*E4*F4*G4*H4/10000,0)</f>
        <v>0</v>
      </c>
    </row>
    <row r="5" spans="1:9">
      <c r="A5" s="3668"/>
      <c r="B5" s="3669" t="s">
        <v>2479</v>
      </c>
      <c r="C5" s="3669"/>
      <c r="D5" s="2468"/>
      <c r="E5" s="2466"/>
      <c r="F5" s="2469"/>
      <c r="G5" s="2469"/>
      <c r="H5" s="2470"/>
      <c r="I5" s="2471">
        <f t="shared" si="0"/>
        <v>0</v>
      </c>
    </row>
    <row r="6" spans="1:9">
      <c r="A6" s="3668"/>
      <c r="B6" s="3669" t="s">
        <v>2480</v>
      </c>
      <c r="C6" s="3669"/>
      <c r="D6" s="2468"/>
      <c r="E6" s="2466"/>
      <c r="F6" s="2469"/>
      <c r="G6" s="2469"/>
      <c r="H6" s="2470"/>
      <c r="I6" s="2471">
        <f t="shared" si="0"/>
        <v>0</v>
      </c>
    </row>
    <row r="7" spans="1:9">
      <c r="A7" s="3668"/>
      <c r="B7" s="3669" t="s">
        <v>2481</v>
      </c>
      <c r="C7" s="3669"/>
      <c r="D7" s="2468"/>
      <c r="E7" s="2466"/>
      <c r="F7" s="2469"/>
      <c r="G7" s="2469"/>
      <c r="H7" s="2470"/>
      <c r="I7" s="2471">
        <f t="shared" si="0"/>
        <v>0</v>
      </c>
    </row>
    <row r="8" spans="1:9">
      <c r="A8" s="3668"/>
      <c r="B8" s="3669" t="s">
        <v>2482</v>
      </c>
      <c r="C8" s="3669"/>
      <c r="D8" s="2468"/>
      <c r="E8" s="2466"/>
      <c r="F8" s="2469"/>
      <c r="G8" s="2469"/>
      <c r="H8" s="2470"/>
      <c r="I8" s="2471">
        <f t="shared" si="0"/>
        <v>0</v>
      </c>
    </row>
    <row r="9" spans="1:9">
      <c r="A9" s="3668"/>
      <c r="B9" s="3669" t="s">
        <v>2483</v>
      </c>
      <c r="C9" s="3669"/>
      <c r="D9" s="2468"/>
      <c r="E9" s="2466"/>
      <c r="F9" s="2469"/>
      <c r="G9" s="2469"/>
      <c r="H9" s="2470"/>
      <c r="I9" s="2471">
        <f t="shared" si="0"/>
        <v>0</v>
      </c>
    </row>
    <row r="10" spans="1:9">
      <c r="A10" s="3668"/>
      <c r="B10" s="3670" t="s">
        <v>2484</v>
      </c>
      <c r="C10" s="3670"/>
      <c r="D10" s="2472">
        <v>527</v>
      </c>
      <c r="E10" s="2472" t="e">
        <f>ROUND(D1*10000/D10/H9,0)</f>
        <v>#DIV/0!</v>
      </c>
      <c r="F10" s="2473"/>
      <c r="G10" s="2473"/>
      <c r="H10" s="2474"/>
      <c r="I10" s="2475">
        <f>SUM(I3:I9)</f>
        <v>0</v>
      </c>
    </row>
    <row r="11" spans="1:9" ht="15.6">
      <c r="A11" s="3668" t="s">
        <v>2485</v>
      </c>
      <c r="B11" s="3669" t="s">
        <v>2486</v>
      </c>
      <c r="C11" s="3669"/>
      <c r="D11" s="2468" t="s">
        <v>2487</v>
      </c>
      <c r="E11" s="2468" t="s">
        <v>2488</v>
      </c>
      <c r="F11" s="2469" t="s">
        <v>2489</v>
      </c>
      <c r="G11" s="2469" t="s">
        <v>2490</v>
      </c>
      <c r="H11" s="2476" t="s">
        <v>2491</v>
      </c>
      <c r="I11" s="2467" t="s">
        <v>2492</v>
      </c>
    </row>
    <row r="12" spans="1:9">
      <c r="A12" s="3668"/>
      <c r="B12" s="3669" t="s">
        <v>2493</v>
      </c>
      <c r="C12" s="3669"/>
      <c r="D12" s="2468"/>
      <c r="E12" s="2468"/>
      <c r="F12" s="2469"/>
      <c r="G12" s="2470"/>
      <c r="H12" s="2477"/>
      <c r="I12" s="2467">
        <f>ROUND(D12*E12*F12*G12/10000,0)</f>
        <v>0</v>
      </c>
    </row>
    <row r="13" spans="1:9">
      <c r="A13" s="3668"/>
      <c r="B13" s="3669" t="s">
        <v>2494</v>
      </c>
      <c r="C13" s="3669"/>
      <c r="D13" s="2468"/>
      <c r="E13" s="2468"/>
      <c r="F13" s="2469"/>
      <c r="G13" s="2470"/>
      <c r="H13" s="2477"/>
      <c r="I13" s="2467">
        <f>ROUND(D13*E13*F13*G13/10000,0)</f>
        <v>0</v>
      </c>
    </row>
    <row r="14" spans="1:9">
      <c r="A14" s="3668"/>
      <c r="B14" s="3669" t="s">
        <v>2495</v>
      </c>
      <c r="C14" s="3669"/>
      <c r="D14" s="2468"/>
      <c r="E14" s="2468"/>
      <c r="F14" s="2469"/>
      <c r="G14" s="2470"/>
      <c r="H14" s="2477"/>
      <c r="I14" s="2467">
        <f>ROUND(D14*E14*F14*G14/10000,0)</f>
        <v>0</v>
      </c>
    </row>
    <row r="15" spans="1:9">
      <c r="A15" s="3668"/>
      <c r="B15" s="3670" t="s">
        <v>2484</v>
      </c>
      <c r="C15" s="3670"/>
      <c r="D15" s="2472"/>
      <c r="E15" s="2472">
        <f>SUM(E12:E14)</f>
        <v>0</v>
      </c>
      <c r="F15" s="2473"/>
      <c r="G15" s="2470"/>
      <c r="H15" s="2477"/>
      <c r="I15" s="2478">
        <f>SUM(I12:I14)</f>
        <v>0</v>
      </c>
    </row>
    <row r="16" spans="1:9" ht="24">
      <c r="A16" s="3668" t="s">
        <v>2496</v>
      </c>
      <c r="B16" s="3669" t="s">
        <v>2497</v>
      </c>
      <c r="C16" s="3669"/>
      <c r="D16" s="2468" t="s">
        <v>2498</v>
      </c>
      <c r="E16" s="2479" t="s">
        <v>2499</v>
      </c>
      <c r="F16" s="2469" t="s">
        <v>2500</v>
      </c>
      <c r="G16" s="2470" t="s">
        <v>2490</v>
      </c>
      <c r="H16" s="2476" t="s">
        <v>2491</v>
      </c>
      <c r="I16" s="2467" t="s">
        <v>2492</v>
      </c>
    </row>
    <row r="17" spans="1:9" ht="15.6">
      <c r="A17" s="3668"/>
      <c r="B17" s="3669" t="s">
        <v>2501</v>
      </c>
      <c r="C17" s="3669"/>
      <c r="D17" s="2468"/>
      <c r="E17" s="2468"/>
      <c r="F17" s="2469"/>
      <c r="G17" s="2470"/>
      <c r="H17" s="2480"/>
      <c r="I17" s="2481">
        <f>ROUND(D17*E17*F17*G17/10000,0)</f>
        <v>0</v>
      </c>
    </row>
    <row r="18" spans="1:9" ht="15.6">
      <c r="A18" s="3668"/>
      <c r="B18" s="3669" t="s">
        <v>2502</v>
      </c>
      <c r="C18" s="3669"/>
      <c r="D18" s="2468"/>
      <c r="E18" s="2468"/>
      <c r="F18" s="2469"/>
      <c r="G18" s="2470"/>
      <c r="H18" s="2480"/>
      <c r="I18" s="2481">
        <f>ROUND(D18*E18*F18*G18/10000,0)</f>
        <v>0</v>
      </c>
    </row>
    <row r="19" spans="1:9" ht="15.6">
      <c r="A19" s="3668"/>
      <c r="B19" s="3669" t="s">
        <v>2503</v>
      </c>
      <c r="C19" s="3669"/>
      <c r="D19" s="2468"/>
      <c r="E19" s="2468"/>
      <c r="F19" s="2469"/>
      <c r="G19" s="2470"/>
      <c r="H19" s="2480"/>
      <c r="I19" s="2481">
        <f>ROUND(D19*E19*F19*G19/10000,0)</f>
        <v>0</v>
      </c>
    </row>
    <row r="20" spans="1:9">
      <c r="A20" s="3668"/>
      <c r="B20" s="3670" t="s">
        <v>2484</v>
      </c>
      <c r="C20" s="3670"/>
      <c r="D20" s="2472">
        <f>SUM(D17:D19)</f>
        <v>0</v>
      </c>
      <c r="E20" s="2472"/>
      <c r="F20" s="2473"/>
      <c r="G20" s="2470"/>
      <c r="H20" s="2477"/>
      <c r="I20" s="2478">
        <f>SUM(I17:I19)</f>
        <v>0</v>
      </c>
    </row>
    <row r="21" spans="1:9">
      <c r="A21" s="3668" t="s">
        <v>2504</v>
      </c>
      <c r="B21" s="3672"/>
      <c r="C21" s="3672"/>
      <c r="D21" s="3672"/>
      <c r="E21" s="3672"/>
      <c r="F21" s="3672"/>
      <c r="G21" s="3672"/>
      <c r="H21" s="2482">
        <v>0.1</v>
      </c>
      <c r="I21" s="2475">
        <f>ROUND(I10*H21,0)</f>
        <v>0</v>
      </c>
    </row>
    <row r="22" spans="1:9" ht="15.6">
      <c r="A22" s="3673" t="s">
        <v>2505</v>
      </c>
      <c r="B22" s="3674"/>
      <c r="C22" s="3675"/>
      <c r="D22" s="2483" t="s">
        <v>2506</v>
      </c>
      <c r="E22" s="2483" t="s">
        <v>2507</v>
      </c>
      <c r="F22" s="2484" t="s">
        <v>2508</v>
      </c>
      <c r="G22" s="2484" t="s">
        <v>2509</v>
      </c>
      <c r="H22" s="2476" t="s">
        <v>2510</v>
      </c>
      <c r="I22" s="2467" t="s">
        <v>2511</v>
      </c>
    </row>
    <row r="23" spans="1:9" ht="15" thickBot="1">
      <c r="A23" s="3676"/>
      <c r="B23" s="3677"/>
      <c r="C23" s="3678"/>
      <c r="D23" s="2485"/>
      <c r="E23" s="2485"/>
      <c r="F23" s="2485"/>
      <c r="G23" s="2486"/>
      <c r="H23" s="2487"/>
      <c r="I23" s="2488">
        <f>ROUND(E23*D23*F23*(1-G23)/10000,0)</f>
        <v>0</v>
      </c>
    </row>
    <row r="26" spans="1:9">
      <c r="A26" s="2489" t="s">
        <v>2512</v>
      </c>
      <c r="B26" s="2489"/>
      <c r="C26" s="2489"/>
      <c r="D26" s="2489"/>
      <c r="E26" s="3679">
        <f>C27-C30-C31-C32</f>
        <v>0</v>
      </c>
      <c r="F26" s="3679"/>
      <c r="G26" s="3679"/>
      <c r="H26" s="2982" t="s">
        <v>2839</v>
      </c>
    </row>
    <row r="27" spans="1:9">
      <c r="A27" s="2490">
        <v>1</v>
      </c>
      <c r="B27" s="2491" t="s">
        <v>2513</v>
      </c>
      <c r="C27" s="2491"/>
      <c r="D27" s="2491"/>
      <c r="E27" s="3680"/>
      <c r="F27" s="3680"/>
      <c r="G27" s="3680"/>
    </row>
    <row r="28" spans="1:9">
      <c r="A28" s="2492" t="s">
        <v>2514</v>
      </c>
      <c r="B28" s="2491" t="s">
        <v>2515</v>
      </c>
      <c r="C28" s="2491"/>
      <c r="D28" s="2491"/>
      <c r="E28" s="3680"/>
      <c r="F28" s="3680"/>
      <c r="G28" s="3680"/>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671"/>
      <c r="F32" s="3671"/>
      <c r="G32" s="3671"/>
    </row>
    <row r="33" spans="1:7" hidden="1">
      <c r="A33" s="3681" t="s">
        <v>2523</v>
      </c>
      <c r="B33" s="3682"/>
      <c r="C33" s="3682"/>
      <c r="D33" s="3683"/>
      <c r="E33" s="3679"/>
      <c r="F33" s="3679"/>
      <c r="G33" s="3679"/>
    </row>
    <row r="34" spans="1:7" hidden="1">
      <c r="A34" s="2494">
        <v>1</v>
      </c>
      <c r="B34" s="2491" t="s">
        <v>2524</v>
      </c>
      <c r="C34" s="2491"/>
      <c r="D34" s="2491"/>
      <c r="E34" s="3680"/>
      <c r="F34" s="3680"/>
      <c r="G34" s="3680"/>
    </row>
    <row r="35" spans="1:7" hidden="1">
      <c r="A35" s="2494">
        <v>2</v>
      </c>
      <c r="B35" s="2491" t="s">
        <v>2525</v>
      </c>
      <c r="C35" s="2491"/>
      <c r="D35" s="2491"/>
      <c r="E35" s="3680"/>
      <c r="F35" s="3680"/>
      <c r="G35" s="3680"/>
    </row>
    <row r="36" spans="1:7" hidden="1">
      <c r="A36" s="2494">
        <v>3</v>
      </c>
      <c r="B36" s="2491" t="s">
        <v>2526</v>
      </c>
      <c r="C36" s="2491"/>
      <c r="D36" s="2491"/>
      <c r="E36" s="3680"/>
      <c r="F36" s="3680"/>
      <c r="G36" s="3680"/>
    </row>
    <row r="37" spans="1:7" hidden="1">
      <c r="A37" s="2494">
        <v>4</v>
      </c>
      <c r="B37" s="2491" t="s">
        <v>2527</v>
      </c>
      <c r="C37" s="2491"/>
      <c r="D37" s="2491"/>
      <c r="E37" s="3680"/>
      <c r="F37" s="3680"/>
      <c r="G37" s="3680"/>
    </row>
    <row r="38" spans="1:7" hidden="1">
      <c r="A38" s="3681" t="s">
        <v>2528</v>
      </c>
      <c r="B38" s="3682"/>
      <c r="C38" s="3682"/>
      <c r="D38" s="3683"/>
      <c r="E38" s="3679"/>
      <c r="F38" s="3679"/>
      <c r="G38" s="36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5" customWidth="1"/>
    <col min="2" max="2" width="26.6640625" style="2166" customWidth="1"/>
    <col min="3" max="3" width="11.109375" style="2166" customWidth="1"/>
    <col min="4" max="5" width="11.109375" style="2167" customWidth="1"/>
    <col min="6" max="6" width="9.44140625" style="2166" customWidth="1"/>
    <col min="7" max="7" width="31.88671875" style="2166" customWidth="1"/>
    <col min="8" max="25" width="9" style="2168" customWidth="1"/>
    <col min="26" max="254" width="9" style="2166" customWidth="1"/>
    <col min="255" max="16384" width="8.33203125" style="2166"/>
  </cols>
  <sheetData>
    <row r="1" spans="1:25" s="2039" customFormat="1" ht="21">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2438</v>
      </c>
      <c r="B8" s="2431" t="s">
        <v>2440</v>
      </c>
      <c r="C8" s="2432"/>
      <c r="D8" s="746"/>
      <c r="E8" s="747"/>
      <c r="F8" s="747"/>
      <c r="G8" s="748"/>
    </row>
    <row r="9" spans="1:25" s="2163" customFormat="1" ht="13.5" customHeight="1">
      <c r="A9" s="2428" t="s">
        <v>2439</v>
      </c>
      <c r="B9" s="2431" t="s">
        <v>2441</v>
      </c>
      <c r="C9" s="2432"/>
      <c r="D9" s="746"/>
      <c r="E9" s="747"/>
      <c r="F9" s="747"/>
      <c r="G9" s="748"/>
    </row>
    <row r="10" spans="1:25" s="2163" customFormat="1" ht="36">
      <c r="A10" s="2428">
        <v>2</v>
      </c>
      <c r="B10" s="745" t="s">
        <v>613</v>
      </c>
      <c r="C10" s="746">
        <f>C11+C14+C15</f>
        <v>0</v>
      </c>
      <c r="D10" s="757">
        <f>'数据-汇总表'!E3</f>
        <v>155053</v>
      </c>
      <c r="E10" s="746">
        <f>'数据-取费表'!B31</f>
        <v>200</v>
      </c>
      <c r="F10" s="758"/>
      <c r="G10" s="756" t="s">
        <v>614</v>
      </c>
    </row>
    <row r="11" spans="1:25" s="2163" customFormat="1" ht="13.5" customHeight="1">
      <c r="A11" s="2428" t="s">
        <v>2438</v>
      </c>
      <c r="B11" s="749" t="s">
        <v>610</v>
      </c>
      <c r="C11" s="750">
        <f>'数据-取费表'!B29</f>
        <v>0</v>
      </c>
      <c r="D11" s="751"/>
      <c r="E11" s="750"/>
      <c r="F11" s="752"/>
      <c r="G11" s="2437" t="s">
        <v>2449</v>
      </c>
    </row>
    <row r="12" spans="1:25" s="2163" customFormat="1" ht="13.5" customHeight="1">
      <c r="A12" s="2435" t="s">
        <v>2446</v>
      </c>
      <c r="B12" s="753" t="s">
        <v>611</v>
      </c>
      <c r="C12" s="754">
        <f>ROUND(D12*E12/10000,0)</f>
        <v>0</v>
      </c>
      <c r="D12" s="755">
        <f>'数据-汇总表'!E5</f>
        <v>0</v>
      </c>
      <c r="E12" s="754">
        <f>'数据-取费表'!B27</f>
        <v>190</v>
      </c>
      <c r="F12" s="752"/>
      <c r="G12" s="756"/>
    </row>
    <row r="13" spans="1:25" s="2163" customFormat="1" ht="13.5" customHeight="1">
      <c r="A13" s="2435" t="s">
        <v>2445</v>
      </c>
      <c r="B13" s="753" t="s">
        <v>612</v>
      </c>
      <c r="C13" s="754">
        <f>ROUND(D13*E13/10000,0)</f>
        <v>2946</v>
      </c>
      <c r="D13" s="755">
        <f>'数据-汇总表'!E6</f>
        <v>155053</v>
      </c>
      <c r="E13" s="754">
        <f>'数据-取费表'!B28</f>
        <v>190</v>
      </c>
      <c r="F13" s="752"/>
      <c r="G13" s="756"/>
    </row>
    <row r="14" spans="1:25" s="2163" customFormat="1" ht="13.5" customHeight="1">
      <c r="A14" s="2428" t="s">
        <v>2439</v>
      </c>
      <c r="B14" s="2434" t="s">
        <v>2442</v>
      </c>
      <c r="C14" s="2432"/>
      <c r="D14" s="755"/>
      <c r="E14" s="754"/>
      <c r="F14" s="2433"/>
      <c r="G14" s="2436" t="s">
        <v>2447</v>
      </c>
    </row>
    <row r="15" spans="1:25" s="2163" customFormat="1" ht="13.5" customHeight="1">
      <c r="A15" s="2428" t="s">
        <v>2444</v>
      </c>
      <c r="B15" s="2434" t="s">
        <v>2443</v>
      </c>
      <c r="C15" s="2432"/>
      <c r="D15" s="755"/>
      <c r="E15" s="754"/>
      <c r="F15" s="2433"/>
      <c r="G15" s="2436" t="s">
        <v>2448</v>
      </c>
    </row>
    <row r="16" spans="1:25" s="2164" customFormat="1" ht="48">
      <c r="A16" s="2428">
        <v>3</v>
      </c>
      <c r="B16" s="745" t="s">
        <v>615</v>
      </c>
      <c r="C16" s="2432"/>
      <c r="D16" s="757"/>
      <c r="E16" s="746"/>
      <c r="F16" s="758"/>
      <c r="G16" s="756" t="s">
        <v>2450</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6.4">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0.12</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5.2">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0.85199999999999998</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FD27"/>
  <sheetViews>
    <sheetView workbookViewId="0">
      <selection activeCell="O17" sqref="O17"/>
    </sheetView>
  </sheetViews>
  <sheetFormatPr defaultRowHeight="14.4"/>
  <cols>
    <col min="1" max="1" width="31.77734375" customWidth="1"/>
    <col min="18" max="18" width="20.44140625" bestFit="1" customWidth="1"/>
    <col min="41" max="41" width="23.109375" customWidth="1"/>
  </cols>
  <sheetData>
    <row r="1" spans="1:16384" s="2888" customFormat="1">
      <c r="A1" s="2888" t="s">
        <v>2998</v>
      </c>
      <c r="B1" s="2888" t="s">
        <v>2999</v>
      </c>
      <c r="C1" s="2888" t="s">
        <v>3000</v>
      </c>
      <c r="D1" s="2888" t="s">
        <v>3001</v>
      </c>
      <c r="E1" s="2888" t="s">
        <v>3002</v>
      </c>
      <c r="F1" s="2888" t="s">
        <v>3003</v>
      </c>
      <c r="G1" s="2888" t="s">
        <v>3004</v>
      </c>
      <c r="H1" s="2888" t="s">
        <v>3005</v>
      </c>
      <c r="I1" s="2888" t="s">
        <v>3006</v>
      </c>
      <c r="J1" s="2888" t="s">
        <v>3007</v>
      </c>
      <c r="K1" s="2888" t="s">
        <v>3008</v>
      </c>
      <c r="L1" s="2888" t="s">
        <v>2030</v>
      </c>
      <c r="M1" s="2888" t="s">
        <v>3009</v>
      </c>
      <c r="N1" s="2888" t="s">
        <v>3010</v>
      </c>
      <c r="O1" s="2888" t="s">
        <v>3011</v>
      </c>
      <c r="P1" s="2888" t="s">
        <v>3012</v>
      </c>
      <c r="Q1" s="2888" t="s">
        <v>3013</v>
      </c>
      <c r="R1" s="2888" t="s">
        <v>3014</v>
      </c>
      <c r="S1" s="2888" t="s">
        <v>3015</v>
      </c>
      <c r="T1" s="2888" t="s">
        <v>3016</v>
      </c>
      <c r="U1" s="2888" t="s">
        <v>3017</v>
      </c>
      <c r="V1" s="2888" t="s">
        <v>3018</v>
      </c>
      <c r="W1" s="2888" t="s">
        <v>3019</v>
      </c>
      <c r="X1" s="2888" t="s">
        <v>3020</v>
      </c>
      <c r="Y1" s="2888" t="s">
        <v>3021</v>
      </c>
      <c r="Z1" s="2888" t="s">
        <v>3022</v>
      </c>
      <c r="AA1" s="2888" t="s">
        <v>3023</v>
      </c>
      <c r="AB1" s="2888" t="s">
        <v>3024</v>
      </c>
      <c r="AC1" s="2888" t="s">
        <v>3025</v>
      </c>
      <c r="AD1" s="2888" t="s">
        <v>3026</v>
      </c>
      <c r="AE1" s="2888" t="s">
        <v>3027</v>
      </c>
      <c r="AF1" s="2888" t="s">
        <v>3028</v>
      </c>
      <c r="AG1" s="2888" t="s">
        <v>3029</v>
      </c>
      <c r="AH1" s="2888" t="s">
        <v>3030</v>
      </c>
      <c r="AI1" s="2888" t="s">
        <v>3031</v>
      </c>
      <c r="AJ1" s="2888" t="s">
        <v>3032</v>
      </c>
      <c r="AK1" s="2888" t="s">
        <v>3033</v>
      </c>
      <c r="AL1" s="2888" t="s">
        <v>3034</v>
      </c>
      <c r="AM1" s="2888" t="s">
        <v>3035</v>
      </c>
      <c r="AN1" s="2888" t="s">
        <v>3036</v>
      </c>
      <c r="AO1" s="2888" t="s">
        <v>3037</v>
      </c>
      <c r="AP1" s="2888" t="s">
        <v>3038</v>
      </c>
      <c r="AQ1" s="2888" t="s">
        <v>3039</v>
      </c>
      <c r="AR1" s="2888" t="s">
        <v>3040</v>
      </c>
      <c r="AS1" s="2888" t="s">
        <v>3041</v>
      </c>
    </row>
    <row r="2" spans="1:16384" s="3284" customFormat="1">
      <c r="A2" s="3285" t="s">
        <v>3280</v>
      </c>
      <c r="B2" s="3284" t="s">
        <v>1943</v>
      </c>
      <c r="C2" s="3284" t="s">
        <v>3244</v>
      </c>
      <c r="D2" s="3284" t="s">
        <v>3245</v>
      </c>
      <c r="E2" s="3284" t="s">
        <v>2814</v>
      </c>
      <c r="F2" s="3284" t="s">
        <v>3246</v>
      </c>
      <c r="G2" s="3284" t="s">
        <v>3043</v>
      </c>
      <c r="H2" s="3284" t="s">
        <v>3247</v>
      </c>
      <c r="I2" s="3285" t="s">
        <v>3311</v>
      </c>
      <c r="J2" s="3284">
        <v>51736.9</v>
      </c>
      <c r="K2" s="3284">
        <v>81600.05</v>
      </c>
      <c r="L2" s="3284" t="s">
        <v>3248</v>
      </c>
      <c r="M2" s="3284" t="s">
        <v>2814</v>
      </c>
      <c r="N2" s="3284" t="s">
        <v>3249</v>
      </c>
      <c r="O2" s="3284" t="s">
        <v>3250</v>
      </c>
      <c r="P2" s="3284" t="s">
        <v>2814</v>
      </c>
      <c r="Q2" s="3284" t="s">
        <v>2814</v>
      </c>
      <c r="R2" s="3284" t="s">
        <v>2814</v>
      </c>
      <c r="S2" s="3284" t="s">
        <v>2814</v>
      </c>
      <c r="T2" s="3284" t="s">
        <v>2814</v>
      </c>
      <c r="U2" s="3284" t="s">
        <v>2814</v>
      </c>
      <c r="V2" s="3284" t="s">
        <v>2814</v>
      </c>
      <c r="W2" s="3284" t="s">
        <v>3171</v>
      </c>
      <c r="X2" s="3284" t="s">
        <v>3251</v>
      </c>
      <c r="Y2" s="3284" t="s">
        <v>3252</v>
      </c>
      <c r="Z2" s="3284" t="s">
        <v>3253</v>
      </c>
      <c r="AA2" s="3284" t="s">
        <v>3253</v>
      </c>
      <c r="AB2" s="3284" t="s">
        <v>3247</v>
      </c>
      <c r="AC2" s="3284" t="s">
        <v>3042</v>
      </c>
      <c r="AD2" s="3284" t="s">
        <v>3254</v>
      </c>
      <c r="AE2" s="3284">
        <v>30000</v>
      </c>
      <c r="AF2" s="3284">
        <v>150000</v>
      </c>
      <c r="AG2" s="3284">
        <v>150000</v>
      </c>
      <c r="AH2" s="3284">
        <v>1932.86</v>
      </c>
      <c r="AI2" s="3284">
        <v>1932.86</v>
      </c>
      <c r="AJ2" s="3284">
        <v>18382.34</v>
      </c>
      <c r="AK2" s="3284">
        <v>18382.34</v>
      </c>
      <c r="AL2" s="3284" t="s">
        <v>2814</v>
      </c>
      <c r="AM2" s="3284" t="s">
        <v>2814</v>
      </c>
      <c r="AN2" s="3284">
        <v>0</v>
      </c>
      <c r="AO2" s="3284" t="s">
        <v>3255</v>
      </c>
      <c r="AP2" s="3284" t="s">
        <v>2814</v>
      </c>
      <c r="AQ2" s="3284" t="s">
        <v>2814</v>
      </c>
      <c r="AR2" s="3284" t="s">
        <v>2814</v>
      </c>
      <c r="AS2" s="3284" t="s">
        <v>3256</v>
      </c>
    </row>
    <row r="3" spans="1:16384" s="3284" customFormat="1">
      <c r="A3" s="3285" t="s">
        <v>3303</v>
      </c>
      <c r="B3" s="3284" t="s">
        <v>1943</v>
      </c>
      <c r="C3" s="3284" t="s">
        <v>3244</v>
      </c>
      <c r="D3" s="3284" t="s">
        <v>3245</v>
      </c>
      <c r="E3" s="3284" t="s">
        <v>2814</v>
      </c>
      <c r="F3" s="3284" t="s">
        <v>3257</v>
      </c>
      <c r="G3" s="3284" t="s">
        <v>3043</v>
      </c>
      <c r="H3" s="3284" t="s">
        <v>3258</v>
      </c>
      <c r="I3" s="3285" t="s">
        <v>3304</v>
      </c>
      <c r="J3" s="3284">
        <v>33071.620000000003</v>
      </c>
      <c r="K3" s="3284">
        <v>122423.9</v>
      </c>
      <c r="L3" s="3284">
        <v>3.7</v>
      </c>
      <c r="M3" s="3284" t="s">
        <v>2814</v>
      </c>
      <c r="N3" s="3284" t="s">
        <v>3260</v>
      </c>
      <c r="O3" s="3284" t="s">
        <v>3260</v>
      </c>
      <c r="P3" s="3284" t="s">
        <v>2814</v>
      </c>
      <c r="Q3" s="3284" t="s">
        <v>2814</v>
      </c>
      <c r="R3" s="3284" t="s">
        <v>2814</v>
      </c>
      <c r="S3" s="3284" t="s">
        <v>2814</v>
      </c>
      <c r="T3" s="3284" t="s">
        <v>3261</v>
      </c>
      <c r="U3" s="3284" t="s">
        <v>3261</v>
      </c>
      <c r="V3" s="3284" t="s">
        <v>2814</v>
      </c>
      <c r="W3" s="3284" t="s">
        <v>3171</v>
      </c>
      <c r="X3" s="3284" t="s">
        <v>3262</v>
      </c>
      <c r="Y3" s="3284" t="s">
        <v>3263</v>
      </c>
      <c r="Z3" s="3284" t="s">
        <v>3264</v>
      </c>
      <c r="AA3" s="3284" t="s">
        <v>3264</v>
      </c>
      <c r="AB3" s="3284" t="s">
        <v>3258</v>
      </c>
      <c r="AC3" s="3284" t="s">
        <v>3042</v>
      </c>
      <c r="AD3" s="3284" t="s">
        <v>3265</v>
      </c>
      <c r="AE3" s="3284">
        <v>55000</v>
      </c>
      <c r="AF3" s="3284">
        <v>183000</v>
      </c>
      <c r="AG3" s="3284">
        <v>183000</v>
      </c>
      <c r="AH3" s="3284">
        <v>3688.96</v>
      </c>
      <c r="AI3" s="3284">
        <v>3688.96</v>
      </c>
      <c r="AJ3" s="3284">
        <v>14948.06</v>
      </c>
      <c r="AK3" s="3284">
        <v>14948.05</v>
      </c>
      <c r="AL3" s="3284" t="s">
        <v>2814</v>
      </c>
      <c r="AM3" s="3284" t="s">
        <v>2814</v>
      </c>
      <c r="AN3" s="3284">
        <v>0</v>
      </c>
      <c r="AO3" s="3284" t="s">
        <v>3266</v>
      </c>
      <c r="AP3" s="3284" t="s">
        <v>2814</v>
      </c>
      <c r="AQ3" s="3284" t="s">
        <v>2814</v>
      </c>
      <c r="AR3" s="3284" t="s">
        <v>2814</v>
      </c>
      <c r="AS3" s="3284" t="s">
        <v>3170</v>
      </c>
    </row>
    <row r="4" spans="1:16384" s="3284" customFormat="1">
      <c r="A4" s="3299" t="s">
        <v>3305</v>
      </c>
      <c r="B4" s="3284" t="s">
        <v>1943</v>
      </c>
      <c r="C4" s="3284" t="s">
        <v>3244</v>
      </c>
      <c r="D4" s="3284" t="s">
        <v>3245</v>
      </c>
      <c r="E4" s="3284" t="s">
        <v>2814</v>
      </c>
      <c r="F4" s="3284" t="s">
        <v>3267</v>
      </c>
      <c r="G4" s="3284" t="s">
        <v>3043</v>
      </c>
      <c r="H4" s="3284" t="s">
        <v>3268</v>
      </c>
      <c r="I4" s="3284" t="s">
        <v>3259</v>
      </c>
      <c r="J4" s="3284">
        <v>66237.2</v>
      </c>
      <c r="K4" s="3284">
        <v>264058.7</v>
      </c>
      <c r="L4" s="3284">
        <v>3.99</v>
      </c>
      <c r="M4" s="3284" t="s">
        <v>2814</v>
      </c>
      <c r="N4" s="3284" t="s">
        <v>3249</v>
      </c>
      <c r="O4" s="3284" t="s">
        <v>2814</v>
      </c>
      <c r="P4" s="3284" t="s">
        <v>2814</v>
      </c>
      <c r="Q4" s="3284" t="s">
        <v>2814</v>
      </c>
      <c r="R4" s="3284" t="s">
        <v>2814</v>
      </c>
      <c r="S4" s="3284" t="s">
        <v>2814</v>
      </c>
      <c r="T4" s="3284" t="s">
        <v>3261</v>
      </c>
      <c r="U4" s="3284" t="s">
        <v>3261</v>
      </c>
      <c r="V4" s="3284" t="s">
        <v>2814</v>
      </c>
      <c r="W4" s="3284" t="s">
        <v>3269</v>
      </c>
      <c r="X4" s="3284" t="s">
        <v>3270</v>
      </c>
      <c r="Y4" s="3284" t="s">
        <v>3271</v>
      </c>
      <c r="Z4" s="3284" t="s">
        <v>3272</v>
      </c>
      <c r="AA4" s="3284" t="s">
        <v>3272</v>
      </c>
      <c r="AB4" s="3284" t="s">
        <v>3268</v>
      </c>
      <c r="AC4" s="3284" t="s">
        <v>3042</v>
      </c>
      <c r="AD4" s="3284" t="s">
        <v>3273</v>
      </c>
      <c r="AE4" s="3284">
        <v>115500</v>
      </c>
      <c r="AF4" s="3284">
        <v>385000</v>
      </c>
      <c r="AG4" s="3284">
        <v>385000</v>
      </c>
      <c r="AH4" s="3284">
        <v>3874.96</v>
      </c>
      <c r="AI4" s="3284">
        <v>3874.96</v>
      </c>
      <c r="AJ4" s="3284">
        <v>14580.09</v>
      </c>
      <c r="AK4" s="3284">
        <v>14580.09</v>
      </c>
      <c r="AL4" s="3284" t="s">
        <v>2814</v>
      </c>
      <c r="AM4" s="3284" t="s">
        <v>2814</v>
      </c>
      <c r="AN4" s="3284">
        <v>0</v>
      </c>
      <c r="AO4" s="3284" t="s">
        <v>3266</v>
      </c>
      <c r="AP4" s="3284" t="s">
        <v>2814</v>
      </c>
      <c r="AQ4" s="3284" t="s">
        <v>2814</v>
      </c>
      <c r="AR4" s="3284" t="s">
        <v>2814</v>
      </c>
      <c r="AS4" s="3284" t="s">
        <v>3170</v>
      </c>
    </row>
    <row r="6" spans="1:16384" s="2888" customFormat="1">
      <c r="A6" s="2888" t="s">
        <v>3241</v>
      </c>
      <c r="B6" s="2888" t="s">
        <v>3241</v>
      </c>
      <c r="C6" s="2888" t="s">
        <v>3241</v>
      </c>
      <c r="D6" s="2888" t="s">
        <v>3241</v>
      </c>
      <c r="E6" s="2888" t="s">
        <v>3241</v>
      </c>
      <c r="F6" s="2888" t="s">
        <v>3241</v>
      </c>
      <c r="G6" s="2888" t="s">
        <v>3241</v>
      </c>
      <c r="H6" s="2888" t="s">
        <v>3241</v>
      </c>
      <c r="I6" s="2888" t="s">
        <v>3241</v>
      </c>
      <c r="J6" s="2888" t="s">
        <v>3241</v>
      </c>
      <c r="K6" s="2888" t="s">
        <v>3241</v>
      </c>
      <c r="L6" s="2888" t="s">
        <v>3241</v>
      </c>
      <c r="M6" s="2888" t="s">
        <v>3241</v>
      </c>
      <c r="N6" s="2888" t="s">
        <v>3241</v>
      </c>
      <c r="O6" s="2888" t="s">
        <v>3241</v>
      </c>
      <c r="P6" s="2888" t="s">
        <v>3241</v>
      </c>
      <c r="Q6" s="2888" t="s">
        <v>3241</v>
      </c>
      <c r="R6" s="2888" t="s">
        <v>3241</v>
      </c>
      <c r="S6" s="2888" t="s">
        <v>3241</v>
      </c>
      <c r="T6" s="2888" t="s">
        <v>3241</v>
      </c>
      <c r="U6" s="2888" t="s">
        <v>3241</v>
      </c>
      <c r="V6" s="2888" t="s">
        <v>3241</v>
      </c>
      <c r="W6" s="2888" t="s">
        <v>3241</v>
      </c>
      <c r="X6" s="2888" t="s">
        <v>3241</v>
      </c>
      <c r="Y6" s="2888" t="s">
        <v>3241</v>
      </c>
      <c r="Z6" s="2888" t="s">
        <v>3241</v>
      </c>
      <c r="AA6" s="2888" t="s">
        <v>3241</v>
      </c>
      <c r="AB6" s="2888" t="s">
        <v>3241</v>
      </c>
      <c r="AC6" s="2888" t="s">
        <v>3241</v>
      </c>
      <c r="AD6" s="2888" t="s">
        <v>3241</v>
      </c>
      <c r="AE6" s="2888" t="s">
        <v>3241</v>
      </c>
      <c r="AF6" s="2888" t="s">
        <v>3241</v>
      </c>
      <c r="AG6" s="2888" t="s">
        <v>3241</v>
      </c>
      <c r="AH6" s="2888" t="s">
        <v>3241</v>
      </c>
      <c r="AI6" s="2888" t="s">
        <v>3241</v>
      </c>
      <c r="AJ6" s="2888" t="s">
        <v>3241</v>
      </c>
      <c r="AK6" s="2888" t="s">
        <v>3241</v>
      </c>
      <c r="AL6" s="2888" t="s">
        <v>3241</v>
      </c>
      <c r="AM6" s="2888" t="s">
        <v>3241</v>
      </c>
      <c r="AN6" s="2888" t="s">
        <v>3241</v>
      </c>
      <c r="AO6" s="2888" t="s">
        <v>3241</v>
      </c>
      <c r="AP6" s="2888" t="s">
        <v>3241</v>
      </c>
      <c r="AQ6" s="2888" t="s">
        <v>3241</v>
      </c>
      <c r="AR6" s="2888" t="s">
        <v>3241</v>
      </c>
      <c r="AS6" s="2888" t="s">
        <v>3241</v>
      </c>
      <c r="AT6" s="2888" t="s">
        <v>3241</v>
      </c>
      <c r="AU6" s="2888" t="s">
        <v>3241</v>
      </c>
      <c r="AV6" s="2888" t="s">
        <v>3241</v>
      </c>
      <c r="AW6" s="2888" t="s">
        <v>3241</v>
      </c>
      <c r="AX6" s="2888" t="s">
        <v>3241</v>
      </c>
      <c r="AY6" s="2888" t="s">
        <v>3241</v>
      </c>
      <c r="AZ6" s="2888" t="s">
        <v>3241</v>
      </c>
      <c r="BA6" s="2888" t="s">
        <v>3241</v>
      </c>
      <c r="BB6" s="2888" t="s">
        <v>3241</v>
      </c>
      <c r="BC6" s="2888" t="s">
        <v>3241</v>
      </c>
      <c r="BD6" s="2888" t="s">
        <v>3241</v>
      </c>
      <c r="BE6" s="2888" t="s">
        <v>3241</v>
      </c>
      <c r="BF6" s="2888" t="s">
        <v>3241</v>
      </c>
      <c r="BG6" s="2888" t="s">
        <v>3241</v>
      </c>
      <c r="BH6" s="2888" t="s">
        <v>3241</v>
      </c>
      <c r="BI6" s="2888" t="s">
        <v>3241</v>
      </c>
      <c r="BJ6" s="2888" t="s">
        <v>3241</v>
      </c>
      <c r="BK6" s="2888" t="s">
        <v>3241</v>
      </c>
      <c r="BL6" s="2888" t="s">
        <v>3241</v>
      </c>
      <c r="BM6" s="2888" t="s">
        <v>3241</v>
      </c>
      <c r="BN6" s="2888" t="s">
        <v>3241</v>
      </c>
      <c r="BO6" s="2888" t="s">
        <v>3241</v>
      </c>
      <c r="BP6" s="2888" t="s">
        <v>3241</v>
      </c>
      <c r="BQ6" s="2888" t="s">
        <v>3241</v>
      </c>
      <c r="BR6" s="2888" t="s">
        <v>3241</v>
      </c>
      <c r="BS6" s="2888" t="s">
        <v>3241</v>
      </c>
      <c r="BT6" s="2888" t="s">
        <v>3241</v>
      </c>
      <c r="BU6" s="2888" t="s">
        <v>3241</v>
      </c>
      <c r="BV6" s="2888" t="s">
        <v>3241</v>
      </c>
      <c r="BW6" s="2888" t="s">
        <v>3241</v>
      </c>
      <c r="BX6" s="2888" t="s">
        <v>3241</v>
      </c>
      <c r="BY6" s="2888" t="s">
        <v>3241</v>
      </c>
      <c r="BZ6" s="2888" t="s">
        <v>3241</v>
      </c>
      <c r="CA6" s="2888" t="s">
        <v>3241</v>
      </c>
      <c r="CB6" s="2888" t="s">
        <v>3241</v>
      </c>
      <c r="CC6" s="2888" t="s">
        <v>3241</v>
      </c>
      <c r="CD6" s="2888" t="s">
        <v>3241</v>
      </c>
      <c r="CE6" s="2888" t="s">
        <v>3241</v>
      </c>
      <c r="CF6" s="2888" t="s">
        <v>3241</v>
      </c>
      <c r="CG6" s="2888" t="s">
        <v>3241</v>
      </c>
      <c r="CH6" s="2888" t="s">
        <v>3241</v>
      </c>
      <c r="CI6" s="2888" t="s">
        <v>3241</v>
      </c>
      <c r="CJ6" s="2888" t="s">
        <v>3241</v>
      </c>
      <c r="CK6" s="2888" t="s">
        <v>3241</v>
      </c>
      <c r="CL6" s="2888" t="s">
        <v>3241</v>
      </c>
      <c r="CM6" s="2888" t="s">
        <v>3241</v>
      </c>
      <c r="CN6" s="2888" t="s">
        <v>3241</v>
      </c>
      <c r="CO6" s="2888" t="s">
        <v>3241</v>
      </c>
      <c r="CP6" s="2888" t="s">
        <v>3241</v>
      </c>
      <c r="CQ6" s="2888" t="s">
        <v>3241</v>
      </c>
      <c r="CR6" s="2888" t="s">
        <v>3241</v>
      </c>
      <c r="CS6" s="2888" t="s">
        <v>3241</v>
      </c>
      <c r="CT6" s="2888" t="s">
        <v>3241</v>
      </c>
      <c r="CU6" s="2888" t="s">
        <v>3241</v>
      </c>
      <c r="CV6" s="2888" t="s">
        <v>3241</v>
      </c>
      <c r="CW6" s="2888" t="s">
        <v>3241</v>
      </c>
      <c r="CX6" s="2888" t="s">
        <v>3241</v>
      </c>
      <c r="CY6" s="2888" t="s">
        <v>3241</v>
      </c>
      <c r="CZ6" s="2888" t="s">
        <v>3241</v>
      </c>
      <c r="DA6" s="2888" t="s">
        <v>3241</v>
      </c>
      <c r="DB6" s="2888" t="s">
        <v>3241</v>
      </c>
      <c r="DC6" s="2888" t="s">
        <v>3241</v>
      </c>
      <c r="DD6" s="2888" t="s">
        <v>3241</v>
      </c>
      <c r="DE6" s="2888" t="s">
        <v>3241</v>
      </c>
      <c r="DF6" s="2888" t="s">
        <v>3241</v>
      </c>
      <c r="DG6" s="2888" t="s">
        <v>3241</v>
      </c>
      <c r="DH6" s="2888" t="s">
        <v>3241</v>
      </c>
      <c r="DI6" s="2888" t="s">
        <v>3241</v>
      </c>
      <c r="DJ6" s="2888" t="s">
        <v>3241</v>
      </c>
      <c r="DK6" s="2888" t="s">
        <v>3241</v>
      </c>
      <c r="DL6" s="2888" t="s">
        <v>3241</v>
      </c>
      <c r="DM6" s="2888" t="s">
        <v>3241</v>
      </c>
      <c r="DN6" s="2888" t="s">
        <v>3241</v>
      </c>
      <c r="DO6" s="2888" t="s">
        <v>3241</v>
      </c>
      <c r="DP6" s="2888" t="s">
        <v>3241</v>
      </c>
      <c r="DQ6" s="2888" t="s">
        <v>3241</v>
      </c>
      <c r="DR6" s="2888" t="s">
        <v>3241</v>
      </c>
      <c r="DS6" s="2888" t="s">
        <v>3241</v>
      </c>
      <c r="DT6" s="2888" t="s">
        <v>3241</v>
      </c>
      <c r="DU6" s="2888" t="s">
        <v>3241</v>
      </c>
      <c r="DV6" s="2888" t="s">
        <v>3241</v>
      </c>
      <c r="DW6" s="2888" t="s">
        <v>3241</v>
      </c>
      <c r="DX6" s="2888" t="s">
        <v>3241</v>
      </c>
      <c r="DY6" s="2888" t="s">
        <v>3241</v>
      </c>
      <c r="DZ6" s="2888" t="s">
        <v>3241</v>
      </c>
      <c r="EA6" s="2888" t="s">
        <v>3241</v>
      </c>
      <c r="EB6" s="2888" t="s">
        <v>3241</v>
      </c>
      <c r="EC6" s="2888" t="s">
        <v>3241</v>
      </c>
      <c r="ED6" s="2888" t="s">
        <v>3241</v>
      </c>
      <c r="EE6" s="2888" t="s">
        <v>3241</v>
      </c>
      <c r="EF6" s="2888" t="s">
        <v>3241</v>
      </c>
      <c r="EG6" s="2888" t="s">
        <v>3241</v>
      </c>
      <c r="EH6" s="2888" t="s">
        <v>3241</v>
      </c>
      <c r="EI6" s="2888" t="s">
        <v>3241</v>
      </c>
      <c r="EJ6" s="2888" t="s">
        <v>3241</v>
      </c>
      <c r="EK6" s="2888" t="s">
        <v>3241</v>
      </c>
      <c r="EL6" s="2888" t="s">
        <v>3241</v>
      </c>
      <c r="EM6" s="2888" t="s">
        <v>3241</v>
      </c>
      <c r="EN6" s="2888" t="s">
        <v>3241</v>
      </c>
      <c r="EO6" s="2888" t="s">
        <v>3241</v>
      </c>
      <c r="EP6" s="2888" t="s">
        <v>3241</v>
      </c>
      <c r="EQ6" s="2888" t="s">
        <v>3241</v>
      </c>
      <c r="ER6" s="2888" t="s">
        <v>3241</v>
      </c>
      <c r="ES6" s="2888" t="s">
        <v>3241</v>
      </c>
      <c r="ET6" s="2888" t="s">
        <v>3241</v>
      </c>
      <c r="EU6" s="2888" t="s">
        <v>3241</v>
      </c>
      <c r="EV6" s="2888" t="s">
        <v>3241</v>
      </c>
      <c r="EW6" s="2888" t="s">
        <v>3241</v>
      </c>
      <c r="EX6" s="2888" t="s">
        <v>3241</v>
      </c>
      <c r="EY6" s="2888" t="s">
        <v>3241</v>
      </c>
      <c r="EZ6" s="2888" t="s">
        <v>3241</v>
      </c>
      <c r="FA6" s="2888" t="s">
        <v>3241</v>
      </c>
      <c r="FB6" s="2888" t="s">
        <v>3241</v>
      </c>
      <c r="FC6" s="2888" t="s">
        <v>3241</v>
      </c>
      <c r="FD6" s="2888" t="s">
        <v>3241</v>
      </c>
      <c r="FE6" s="2888" t="s">
        <v>3241</v>
      </c>
      <c r="FF6" s="2888" t="s">
        <v>3241</v>
      </c>
      <c r="FG6" s="2888" t="s">
        <v>3241</v>
      </c>
      <c r="FH6" s="2888" t="s">
        <v>3241</v>
      </c>
      <c r="FI6" s="2888" t="s">
        <v>3241</v>
      </c>
      <c r="FJ6" s="2888" t="s">
        <v>3241</v>
      </c>
      <c r="FK6" s="2888" t="s">
        <v>3241</v>
      </c>
      <c r="FL6" s="2888" t="s">
        <v>3241</v>
      </c>
      <c r="FM6" s="2888" t="s">
        <v>3241</v>
      </c>
      <c r="FN6" s="2888" t="s">
        <v>3241</v>
      </c>
      <c r="FO6" s="2888" t="s">
        <v>3241</v>
      </c>
      <c r="FP6" s="2888" t="s">
        <v>3241</v>
      </c>
      <c r="FQ6" s="2888" t="s">
        <v>3241</v>
      </c>
      <c r="FR6" s="2888" t="s">
        <v>3241</v>
      </c>
      <c r="FS6" s="2888" t="s">
        <v>3241</v>
      </c>
      <c r="FT6" s="2888" t="s">
        <v>3241</v>
      </c>
      <c r="FU6" s="2888" t="s">
        <v>3241</v>
      </c>
      <c r="FV6" s="2888" t="s">
        <v>3241</v>
      </c>
      <c r="FW6" s="2888" t="s">
        <v>3241</v>
      </c>
      <c r="FX6" s="2888" t="s">
        <v>3241</v>
      </c>
      <c r="FY6" s="2888" t="s">
        <v>3241</v>
      </c>
      <c r="FZ6" s="2888" t="s">
        <v>3241</v>
      </c>
      <c r="GA6" s="2888" t="s">
        <v>3241</v>
      </c>
      <c r="GB6" s="2888" t="s">
        <v>3241</v>
      </c>
      <c r="GC6" s="2888" t="s">
        <v>3241</v>
      </c>
      <c r="GD6" s="2888" t="s">
        <v>3241</v>
      </c>
      <c r="GE6" s="2888" t="s">
        <v>3241</v>
      </c>
      <c r="GF6" s="2888" t="s">
        <v>3241</v>
      </c>
      <c r="GG6" s="2888" t="s">
        <v>3241</v>
      </c>
      <c r="GH6" s="2888" t="s">
        <v>3241</v>
      </c>
      <c r="GI6" s="2888" t="s">
        <v>3241</v>
      </c>
      <c r="GJ6" s="2888" t="s">
        <v>3241</v>
      </c>
      <c r="GK6" s="2888" t="s">
        <v>3241</v>
      </c>
      <c r="GL6" s="2888" t="s">
        <v>3241</v>
      </c>
      <c r="GM6" s="2888" t="s">
        <v>3241</v>
      </c>
      <c r="GN6" s="2888" t="s">
        <v>3241</v>
      </c>
      <c r="GO6" s="2888" t="s">
        <v>3241</v>
      </c>
      <c r="GP6" s="2888" t="s">
        <v>3241</v>
      </c>
      <c r="GQ6" s="2888" t="s">
        <v>3241</v>
      </c>
      <c r="GR6" s="2888" t="s">
        <v>3241</v>
      </c>
      <c r="GS6" s="2888" t="s">
        <v>3241</v>
      </c>
      <c r="GT6" s="2888" t="s">
        <v>3241</v>
      </c>
      <c r="GU6" s="2888" t="s">
        <v>3241</v>
      </c>
      <c r="GV6" s="2888" t="s">
        <v>3241</v>
      </c>
      <c r="GW6" s="2888" t="s">
        <v>3241</v>
      </c>
      <c r="GX6" s="2888" t="s">
        <v>3241</v>
      </c>
      <c r="GY6" s="2888" t="s">
        <v>3241</v>
      </c>
      <c r="GZ6" s="2888" t="s">
        <v>3241</v>
      </c>
      <c r="HA6" s="2888" t="s">
        <v>3241</v>
      </c>
      <c r="HB6" s="2888" t="s">
        <v>3241</v>
      </c>
      <c r="HC6" s="2888" t="s">
        <v>3241</v>
      </c>
      <c r="HD6" s="2888" t="s">
        <v>3241</v>
      </c>
      <c r="HE6" s="2888" t="s">
        <v>3241</v>
      </c>
      <c r="HF6" s="2888" t="s">
        <v>3241</v>
      </c>
      <c r="HG6" s="2888" t="s">
        <v>3241</v>
      </c>
      <c r="HH6" s="2888" t="s">
        <v>3241</v>
      </c>
      <c r="HI6" s="2888" t="s">
        <v>3241</v>
      </c>
      <c r="HJ6" s="2888" t="s">
        <v>3241</v>
      </c>
      <c r="HK6" s="2888" t="s">
        <v>3241</v>
      </c>
      <c r="HL6" s="2888" t="s">
        <v>3241</v>
      </c>
      <c r="HM6" s="2888" t="s">
        <v>3241</v>
      </c>
      <c r="HN6" s="2888" t="s">
        <v>3241</v>
      </c>
      <c r="HO6" s="2888" t="s">
        <v>3241</v>
      </c>
      <c r="HP6" s="2888" t="s">
        <v>3241</v>
      </c>
      <c r="HQ6" s="2888" t="s">
        <v>3241</v>
      </c>
      <c r="HR6" s="2888" t="s">
        <v>3241</v>
      </c>
      <c r="HS6" s="2888" t="s">
        <v>3241</v>
      </c>
      <c r="HT6" s="2888" t="s">
        <v>3241</v>
      </c>
      <c r="HU6" s="2888" t="s">
        <v>3241</v>
      </c>
      <c r="HV6" s="2888" t="s">
        <v>3241</v>
      </c>
      <c r="HW6" s="2888" t="s">
        <v>3241</v>
      </c>
      <c r="HX6" s="2888" t="s">
        <v>3241</v>
      </c>
      <c r="HY6" s="2888" t="s">
        <v>3241</v>
      </c>
      <c r="HZ6" s="2888" t="s">
        <v>3241</v>
      </c>
      <c r="IA6" s="2888" t="s">
        <v>3241</v>
      </c>
      <c r="IB6" s="2888" t="s">
        <v>3241</v>
      </c>
      <c r="IC6" s="2888" t="s">
        <v>3241</v>
      </c>
      <c r="ID6" s="2888" t="s">
        <v>3241</v>
      </c>
      <c r="IE6" s="2888" t="s">
        <v>3241</v>
      </c>
      <c r="IF6" s="2888" t="s">
        <v>3241</v>
      </c>
      <c r="IG6" s="2888" t="s">
        <v>3241</v>
      </c>
      <c r="IH6" s="2888" t="s">
        <v>3241</v>
      </c>
      <c r="II6" s="2888" t="s">
        <v>3241</v>
      </c>
      <c r="IJ6" s="2888" t="s">
        <v>3241</v>
      </c>
      <c r="IK6" s="2888" t="s">
        <v>3241</v>
      </c>
      <c r="IL6" s="2888" t="s">
        <v>3241</v>
      </c>
      <c r="IM6" s="2888" t="s">
        <v>3241</v>
      </c>
      <c r="IN6" s="2888" t="s">
        <v>3241</v>
      </c>
      <c r="IO6" s="2888" t="s">
        <v>3241</v>
      </c>
      <c r="IP6" s="2888" t="s">
        <v>3241</v>
      </c>
      <c r="IQ6" s="2888" t="s">
        <v>3241</v>
      </c>
      <c r="IR6" s="2888" t="s">
        <v>3241</v>
      </c>
      <c r="IS6" s="2888" t="s">
        <v>3241</v>
      </c>
      <c r="IT6" s="2888" t="s">
        <v>3241</v>
      </c>
      <c r="IU6" s="2888" t="s">
        <v>3241</v>
      </c>
      <c r="IV6" s="2888" t="s">
        <v>3241</v>
      </c>
      <c r="IW6" s="2888" t="s">
        <v>3241</v>
      </c>
      <c r="IX6" s="2888" t="s">
        <v>3241</v>
      </c>
      <c r="IY6" s="2888" t="s">
        <v>3241</v>
      </c>
      <c r="IZ6" s="2888" t="s">
        <v>3241</v>
      </c>
      <c r="JA6" s="2888" t="s">
        <v>3241</v>
      </c>
      <c r="JB6" s="2888" t="s">
        <v>3241</v>
      </c>
      <c r="JC6" s="2888" t="s">
        <v>3241</v>
      </c>
      <c r="JD6" s="2888" t="s">
        <v>3241</v>
      </c>
      <c r="JE6" s="2888" t="s">
        <v>3241</v>
      </c>
      <c r="JF6" s="2888" t="s">
        <v>3241</v>
      </c>
      <c r="JG6" s="2888" t="s">
        <v>3241</v>
      </c>
      <c r="JH6" s="2888" t="s">
        <v>3241</v>
      </c>
      <c r="JI6" s="2888" t="s">
        <v>3241</v>
      </c>
      <c r="JJ6" s="2888" t="s">
        <v>3241</v>
      </c>
      <c r="JK6" s="2888" t="s">
        <v>3241</v>
      </c>
      <c r="JL6" s="2888" t="s">
        <v>3241</v>
      </c>
      <c r="JM6" s="2888" t="s">
        <v>3241</v>
      </c>
      <c r="JN6" s="2888" t="s">
        <v>3241</v>
      </c>
      <c r="JO6" s="2888" t="s">
        <v>3241</v>
      </c>
      <c r="JP6" s="2888" t="s">
        <v>3241</v>
      </c>
      <c r="JQ6" s="2888" t="s">
        <v>3241</v>
      </c>
      <c r="JR6" s="2888" t="s">
        <v>3241</v>
      </c>
      <c r="JS6" s="2888" t="s">
        <v>3241</v>
      </c>
      <c r="JT6" s="2888" t="s">
        <v>3241</v>
      </c>
      <c r="JU6" s="2888" t="s">
        <v>3241</v>
      </c>
      <c r="JV6" s="2888" t="s">
        <v>3241</v>
      </c>
      <c r="JW6" s="2888" t="s">
        <v>3241</v>
      </c>
      <c r="JX6" s="2888" t="s">
        <v>3241</v>
      </c>
      <c r="JY6" s="2888" t="s">
        <v>3241</v>
      </c>
      <c r="JZ6" s="2888" t="s">
        <v>3241</v>
      </c>
      <c r="KA6" s="2888" t="s">
        <v>3241</v>
      </c>
      <c r="KB6" s="2888" t="s">
        <v>3241</v>
      </c>
      <c r="KC6" s="2888" t="s">
        <v>3241</v>
      </c>
      <c r="KD6" s="2888" t="s">
        <v>3241</v>
      </c>
      <c r="KE6" s="2888" t="s">
        <v>3241</v>
      </c>
      <c r="KF6" s="2888" t="s">
        <v>3241</v>
      </c>
      <c r="KG6" s="2888" t="s">
        <v>3241</v>
      </c>
      <c r="KH6" s="2888" t="s">
        <v>3241</v>
      </c>
      <c r="KI6" s="2888" t="s">
        <v>3241</v>
      </c>
      <c r="KJ6" s="2888" t="s">
        <v>3241</v>
      </c>
      <c r="KK6" s="2888" t="s">
        <v>3241</v>
      </c>
      <c r="KL6" s="2888" t="s">
        <v>3241</v>
      </c>
      <c r="KM6" s="2888" t="s">
        <v>3241</v>
      </c>
      <c r="KN6" s="2888" t="s">
        <v>3241</v>
      </c>
      <c r="KO6" s="2888" t="s">
        <v>3241</v>
      </c>
      <c r="KP6" s="2888" t="s">
        <v>3241</v>
      </c>
      <c r="KQ6" s="2888" t="s">
        <v>3241</v>
      </c>
      <c r="KR6" s="2888" t="s">
        <v>3241</v>
      </c>
      <c r="KS6" s="2888" t="s">
        <v>3241</v>
      </c>
      <c r="KT6" s="2888" t="s">
        <v>3241</v>
      </c>
      <c r="KU6" s="2888" t="s">
        <v>3241</v>
      </c>
      <c r="KV6" s="2888" t="s">
        <v>3241</v>
      </c>
      <c r="KW6" s="2888" t="s">
        <v>3241</v>
      </c>
      <c r="KX6" s="2888" t="s">
        <v>3241</v>
      </c>
      <c r="KY6" s="2888" t="s">
        <v>3241</v>
      </c>
      <c r="KZ6" s="2888" t="s">
        <v>3241</v>
      </c>
      <c r="LA6" s="2888" t="s">
        <v>3241</v>
      </c>
      <c r="LB6" s="2888" t="s">
        <v>3241</v>
      </c>
      <c r="LC6" s="2888" t="s">
        <v>3241</v>
      </c>
      <c r="LD6" s="2888" t="s">
        <v>3241</v>
      </c>
      <c r="LE6" s="2888" t="s">
        <v>3241</v>
      </c>
      <c r="LF6" s="2888" t="s">
        <v>3241</v>
      </c>
      <c r="LG6" s="2888" t="s">
        <v>3241</v>
      </c>
      <c r="LH6" s="2888" t="s">
        <v>3241</v>
      </c>
      <c r="LI6" s="2888" t="s">
        <v>3241</v>
      </c>
      <c r="LJ6" s="2888" t="s">
        <v>3241</v>
      </c>
      <c r="LK6" s="2888" t="s">
        <v>3241</v>
      </c>
      <c r="LL6" s="2888" t="s">
        <v>3241</v>
      </c>
      <c r="LM6" s="2888" t="s">
        <v>3241</v>
      </c>
      <c r="LN6" s="2888" t="s">
        <v>3241</v>
      </c>
      <c r="LO6" s="2888" t="s">
        <v>3241</v>
      </c>
      <c r="LP6" s="2888" t="s">
        <v>3241</v>
      </c>
      <c r="LQ6" s="2888" t="s">
        <v>3241</v>
      </c>
      <c r="LR6" s="2888" t="s">
        <v>3241</v>
      </c>
      <c r="LS6" s="2888" t="s">
        <v>3241</v>
      </c>
      <c r="LT6" s="2888" t="s">
        <v>3241</v>
      </c>
      <c r="LU6" s="2888" t="s">
        <v>3241</v>
      </c>
      <c r="LV6" s="2888" t="s">
        <v>3241</v>
      </c>
      <c r="LW6" s="2888" t="s">
        <v>3241</v>
      </c>
      <c r="LX6" s="2888" t="s">
        <v>3241</v>
      </c>
      <c r="LY6" s="2888" t="s">
        <v>3241</v>
      </c>
      <c r="LZ6" s="2888" t="s">
        <v>3241</v>
      </c>
      <c r="MA6" s="2888" t="s">
        <v>3241</v>
      </c>
      <c r="MB6" s="2888" t="s">
        <v>3241</v>
      </c>
      <c r="MC6" s="2888" t="s">
        <v>3241</v>
      </c>
      <c r="MD6" s="2888" t="s">
        <v>3241</v>
      </c>
      <c r="ME6" s="2888" t="s">
        <v>3241</v>
      </c>
      <c r="MF6" s="2888" t="s">
        <v>3241</v>
      </c>
      <c r="MG6" s="2888" t="s">
        <v>3241</v>
      </c>
      <c r="MH6" s="2888" t="s">
        <v>3241</v>
      </c>
      <c r="MI6" s="2888" t="s">
        <v>3241</v>
      </c>
      <c r="MJ6" s="2888" t="s">
        <v>3241</v>
      </c>
      <c r="MK6" s="2888" t="s">
        <v>3241</v>
      </c>
      <c r="ML6" s="2888" t="s">
        <v>3241</v>
      </c>
      <c r="MM6" s="2888" t="s">
        <v>3241</v>
      </c>
      <c r="MN6" s="2888" t="s">
        <v>3241</v>
      </c>
      <c r="MO6" s="2888" t="s">
        <v>3241</v>
      </c>
      <c r="MP6" s="2888" t="s">
        <v>3241</v>
      </c>
      <c r="MQ6" s="2888" t="s">
        <v>3241</v>
      </c>
      <c r="MR6" s="2888" t="s">
        <v>3241</v>
      </c>
      <c r="MS6" s="2888" t="s">
        <v>3241</v>
      </c>
      <c r="MT6" s="2888" t="s">
        <v>3241</v>
      </c>
      <c r="MU6" s="2888" t="s">
        <v>3241</v>
      </c>
      <c r="MV6" s="2888" t="s">
        <v>3241</v>
      </c>
      <c r="MW6" s="2888" t="s">
        <v>3241</v>
      </c>
      <c r="MX6" s="2888" t="s">
        <v>3241</v>
      </c>
      <c r="MY6" s="2888" t="s">
        <v>3241</v>
      </c>
      <c r="MZ6" s="2888" t="s">
        <v>3241</v>
      </c>
      <c r="NA6" s="2888" t="s">
        <v>3241</v>
      </c>
      <c r="NB6" s="2888" t="s">
        <v>3241</v>
      </c>
      <c r="NC6" s="2888" t="s">
        <v>3241</v>
      </c>
      <c r="ND6" s="2888" t="s">
        <v>3241</v>
      </c>
      <c r="NE6" s="2888" t="s">
        <v>3241</v>
      </c>
      <c r="NF6" s="2888" t="s">
        <v>3241</v>
      </c>
      <c r="NG6" s="2888" t="s">
        <v>3241</v>
      </c>
      <c r="NH6" s="2888" t="s">
        <v>3241</v>
      </c>
      <c r="NI6" s="2888" t="s">
        <v>3241</v>
      </c>
      <c r="NJ6" s="2888" t="s">
        <v>3241</v>
      </c>
      <c r="NK6" s="2888" t="s">
        <v>3241</v>
      </c>
      <c r="NL6" s="2888" t="s">
        <v>3241</v>
      </c>
      <c r="NM6" s="2888" t="s">
        <v>3241</v>
      </c>
      <c r="NN6" s="2888" t="s">
        <v>3241</v>
      </c>
      <c r="NO6" s="2888" t="s">
        <v>3241</v>
      </c>
      <c r="NP6" s="2888" t="s">
        <v>3241</v>
      </c>
      <c r="NQ6" s="2888" t="s">
        <v>3241</v>
      </c>
      <c r="NR6" s="2888" t="s">
        <v>3241</v>
      </c>
      <c r="NS6" s="2888" t="s">
        <v>3241</v>
      </c>
      <c r="NT6" s="2888" t="s">
        <v>3241</v>
      </c>
      <c r="NU6" s="2888" t="s">
        <v>3241</v>
      </c>
      <c r="NV6" s="2888" t="s">
        <v>3241</v>
      </c>
      <c r="NW6" s="2888" t="s">
        <v>3241</v>
      </c>
      <c r="NX6" s="2888" t="s">
        <v>3241</v>
      </c>
      <c r="NY6" s="2888" t="s">
        <v>3241</v>
      </c>
      <c r="NZ6" s="2888" t="s">
        <v>3241</v>
      </c>
      <c r="OA6" s="2888" t="s">
        <v>3241</v>
      </c>
      <c r="OB6" s="2888" t="s">
        <v>3241</v>
      </c>
      <c r="OC6" s="2888" t="s">
        <v>3241</v>
      </c>
      <c r="OD6" s="2888" t="s">
        <v>3241</v>
      </c>
      <c r="OE6" s="2888" t="s">
        <v>3241</v>
      </c>
      <c r="OF6" s="2888" t="s">
        <v>3241</v>
      </c>
      <c r="OG6" s="2888" t="s">
        <v>3241</v>
      </c>
      <c r="OH6" s="2888" t="s">
        <v>3241</v>
      </c>
      <c r="OI6" s="2888" t="s">
        <v>3241</v>
      </c>
      <c r="OJ6" s="2888" t="s">
        <v>3241</v>
      </c>
      <c r="OK6" s="2888" t="s">
        <v>3241</v>
      </c>
      <c r="OL6" s="2888" t="s">
        <v>3241</v>
      </c>
      <c r="OM6" s="2888" t="s">
        <v>3241</v>
      </c>
      <c r="ON6" s="2888" t="s">
        <v>3241</v>
      </c>
      <c r="OO6" s="2888" t="s">
        <v>3241</v>
      </c>
      <c r="OP6" s="2888" t="s">
        <v>3241</v>
      </c>
      <c r="OQ6" s="2888" t="s">
        <v>3241</v>
      </c>
      <c r="OR6" s="2888" t="s">
        <v>3241</v>
      </c>
      <c r="OS6" s="2888" t="s">
        <v>3241</v>
      </c>
      <c r="OT6" s="2888" t="s">
        <v>3241</v>
      </c>
      <c r="OU6" s="2888" t="s">
        <v>3241</v>
      </c>
      <c r="OV6" s="2888" t="s">
        <v>3241</v>
      </c>
      <c r="OW6" s="2888" t="s">
        <v>3241</v>
      </c>
      <c r="OX6" s="2888" t="s">
        <v>3241</v>
      </c>
      <c r="OY6" s="2888" t="s">
        <v>3241</v>
      </c>
      <c r="OZ6" s="2888" t="s">
        <v>3241</v>
      </c>
      <c r="PA6" s="2888" t="s">
        <v>3241</v>
      </c>
      <c r="PB6" s="2888" t="s">
        <v>3241</v>
      </c>
      <c r="PC6" s="2888" t="s">
        <v>3241</v>
      </c>
      <c r="PD6" s="2888" t="s">
        <v>3241</v>
      </c>
      <c r="PE6" s="2888" t="s">
        <v>3241</v>
      </c>
      <c r="PF6" s="2888" t="s">
        <v>3241</v>
      </c>
      <c r="PG6" s="2888" t="s">
        <v>3241</v>
      </c>
      <c r="PH6" s="2888" t="s">
        <v>3241</v>
      </c>
      <c r="PI6" s="2888" t="s">
        <v>3241</v>
      </c>
      <c r="PJ6" s="2888" t="s">
        <v>3241</v>
      </c>
      <c r="PK6" s="2888" t="s">
        <v>3241</v>
      </c>
      <c r="PL6" s="2888" t="s">
        <v>3241</v>
      </c>
      <c r="PM6" s="2888" t="s">
        <v>3241</v>
      </c>
      <c r="PN6" s="2888" t="s">
        <v>3241</v>
      </c>
      <c r="PO6" s="2888" t="s">
        <v>3241</v>
      </c>
      <c r="PP6" s="2888" t="s">
        <v>3241</v>
      </c>
      <c r="PQ6" s="2888" t="s">
        <v>3241</v>
      </c>
      <c r="PR6" s="2888" t="s">
        <v>3241</v>
      </c>
      <c r="PS6" s="2888" t="s">
        <v>3241</v>
      </c>
      <c r="PT6" s="2888" t="s">
        <v>3241</v>
      </c>
      <c r="PU6" s="2888" t="s">
        <v>3241</v>
      </c>
      <c r="PV6" s="2888" t="s">
        <v>3241</v>
      </c>
      <c r="PW6" s="2888" t="s">
        <v>3241</v>
      </c>
      <c r="PX6" s="2888" t="s">
        <v>3241</v>
      </c>
      <c r="PY6" s="2888" t="s">
        <v>3241</v>
      </c>
      <c r="PZ6" s="2888" t="s">
        <v>3241</v>
      </c>
      <c r="QA6" s="2888" t="s">
        <v>3241</v>
      </c>
      <c r="QB6" s="2888" t="s">
        <v>3241</v>
      </c>
      <c r="QC6" s="2888" t="s">
        <v>3241</v>
      </c>
      <c r="QD6" s="2888" t="s">
        <v>3241</v>
      </c>
      <c r="QE6" s="2888" t="s">
        <v>3241</v>
      </c>
      <c r="QF6" s="2888" t="s">
        <v>3241</v>
      </c>
      <c r="QG6" s="2888" t="s">
        <v>3241</v>
      </c>
      <c r="QH6" s="2888" t="s">
        <v>3241</v>
      </c>
      <c r="QI6" s="2888" t="s">
        <v>3241</v>
      </c>
      <c r="QJ6" s="2888" t="s">
        <v>3241</v>
      </c>
      <c r="QK6" s="2888" t="s">
        <v>3241</v>
      </c>
      <c r="QL6" s="2888" t="s">
        <v>3241</v>
      </c>
      <c r="QM6" s="2888" t="s">
        <v>3241</v>
      </c>
      <c r="QN6" s="2888" t="s">
        <v>3241</v>
      </c>
      <c r="QO6" s="2888" t="s">
        <v>3241</v>
      </c>
      <c r="QP6" s="2888" t="s">
        <v>3241</v>
      </c>
      <c r="QQ6" s="2888" t="s">
        <v>3241</v>
      </c>
      <c r="QR6" s="2888" t="s">
        <v>3241</v>
      </c>
      <c r="QS6" s="2888" t="s">
        <v>3241</v>
      </c>
      <c r="QT6" s="2888" t="s">
        <v>3241</v>
      </c>
      <c r="QU6" s="2888" t="s">
        <v>3241</v>
      </c>
      <c r="QV6" s="2888" t="s">
        <v>3241</v>
      </c>
      <c r="QW6" s="2888" t="s">
        <v>3241</v>
      </c>
      <c r="QX6" s="2888" t="s">
        <v>3241</v>
      </c>
      <c r="QY6" s="2888" t="s">
        <v>3241</v>
      </c>
      <c r="QZ6" s="2888" t="s">
        <v>3241</v>
      </c>
      <c r="RA6" s="2888" t="s">
        <v>3241</v>
      </c>
      <c r="RB6" s="2888" t="s">
        <v>3241</v>
      </c>
      <c r="RC6" s="2888" t="s">
        <v>3241</v>
      </c>
      <c r="RD6" s="2888" t="s">
        <v>3241</v>
      </c>
      <c r="RE6" s="2888" t="s">
        <v>3241</v>
      </c>
      <c r="RF6" s="2888" t="s">
        <v>3241</v>
      </c>
      <c r="RG6" s="2888" t="s">
        <v>3241</v>
      </c>
      <c r="RH6" s="2888" t="s">
        <v>3241</v>
      </c>
      <c r="RI6" s="2888" t="s">
        <v>3241</v>
      </c>
      <c r="RJ6" s="2888" t="s">
        <v>3241</v>
      </c>
      <c r="RK6" s="2888" t="s">
        <v>3241</v>
      </c>
      <c r="RL6" s="2888" t="s">
        <v>3241</v>
      </c>
      <c r="RM6" s="2888" t="s">
        <v>3241</v>
      </c>
      <c r="RN6" s="2888" t="s">
        <v>3241</v>
      </c>
      <c r="RO6" s="2888" t="s">
        <v>3241</v>
      </c>
      <c r="RP6" s="2888" t="s">
        <v>3241</v>
      </c>
      <c r="RQ6" s="2888" t="s">
        <v>3241</v>
      </c>
      <c r="RR6" s="2888" t="s">
        <v>3241</v>
      </c>
      <c r="RS6" s="2888" t="s">
        <v>3241</v>
      </c>
      <c r="RT6" s="2888" t="s">
        <v>3241</v>
      </c>
      <c r="RU6" s="2888" t="s">
        <v>3241</v>
      </c>
      <c r="RV6" s="2888" t="s">
        <v>3241</v>
      </c>
      <c r="RW6" s="2888" t="s">
        <v>3241</v>
      </c>
      <c r="RX6" s="2888" t="s">
        <v>3241</v>
      </c>
      <c r="RY6" s="2888" t="s">
        <v>3241</v>
      </c>
      <c r="RZ6" s="2888" t="s">
        <v>3241</v>
      </c>
      <c r="SA6" s="2888" t="s">
        <v>3241</v>
      </c>
      <c r="SB6" s="2888" t="s">
        <v>3241</v>
      </c>
      <c r="SC6" s="2888" t="s">
        <v>3241</v>
      </c>
      <c r="SD6" s="2888" t="s">
        <v>3241</v>
      </c>
      <c r="SE6" s="2888" t="s">
        <v>3241</v>
      </c>
      <c r="SF6" s="2888" t="s">
        <v>3241</v>
      </c>
      <c r="SG6" s="2888" t="s">
        <v>3241</v>
      </c>
      <c r="SH6" s="2888" t="s">
        <v>3241</v>
      </c>
      <c r="SI6" s="2888" t="s">
        <v>3241</v>
      </c>
      <c r="SJ6" s="2888" t="s">
        <v>3241</v>
      </c>
      <c r="SK6" s="2888" t="s">
        <v>3241</v>
      </c>
      <c r="SL6" s="2888" t="s">
        <v>3241</v>
      </c>
      <c r="SM6" s="2888" t="s">
        <v>3241</v>
      </c>
      <c r="SN6" s="2888" t="s">
        <v>3241</v>
      </c>
      <c r="SO6" s="2888" t="s">
        <v>3241</v>
      </c>
      <c r="SP6" s="2888" t="s">
        <v>3241</v>
      </c>
      <c r="SQ6" s="2888" t="s">
        <v>3241</v>
      </c>
      <c r="SR6" s="2888" t="s">
        <v>3241</v>
      </c>
      <c r="SS6" s="2888" t="s">
        <v>3241</v>
      </c>
      <c r="ST6" s="2888" t="s">
        <v>3241</v>
      </c>
      <c r="SU6" s="2888" t="s">
        <v>3241</v>
      </c>
      <c r="SV6" s="2888" t="s">
        <v>3241</v>
      </c>
      <c r="SW6" s="2888" t="s">
        <v>3241</v>
      </c>
      <c r="SX6" s="2888" t="s">
        <v>3241</v>
      </c>
      <c r="SY6" s="2888" t="s">
        <v>3241</v>
      </c>
      <c r="SZ6" s="2888" t="s">
        <v>3241</v>
      </c>
      <c r="TA6" s="2888" t="s">
        <v>3241</v>
      </c>
      <c r="TB6" s="2888" t="s">
        <v>3241</v>
      </c>
      <c r="TC6" s="2888" t="s">
        <v>3241</v>
      </c>
      <c r="TD6" s="2888" t="s">
        <v>3241</v>
      </c>
      <c r="TE6" s="2888" t="s">
        <v>3241</v>
      </c>
      <c r="TF6" s="2888" t="s">
        <v>3241</v>
      </c>
      <c r="TG6" s="2888" t="s">
        <v>3241</v>
      </c>
      <c r="TH6" s="2888" t="s">
        <v>3241</v>
      </c>
      <c r="TI6" s="2888" t="s">
        <v>3241</v>
      </c>
      <c r="TJ6" s="2888" t="s">
        <v>3241</v>
      </c>
      <c r="TK6" s="2888" t="s">
        <v>3241</v>
      </c>
      <c r="TL6" s="2888" t="s">
        <v>3241</v>
      </c>
      <c r="TM6" s="2888" t="s">
        <v>3241</v>
      </c>
      <c r="TN6" s="2888" t="s">
        <v>3241</v>
      </c>
      <c r="TO6" s="2888" t="s">
        <v>3241</v>
      </c>
      <c r="TP6" s="2888" t="s">
        <v>3241</v>
      </c>
      <c r="TQ6" s="2888" t="s">
        <v>3241</v>
      </c>
      <c r="TR6" s="2888" t="s">
        <v>3241</v>
      </c>
      <c r="TS6" s="2888" t="s">
        <v>3241</v>
      </c>
      <c r="TT6" s="2888" t="s">
        <v>3241</v>
      </c>
      <c r="TU6" s="2888" t="s">
        <v>3241</v>
      </c>
      <c r="TV6" s="2888" t="s">
        <v>3241</v>
      </c>
      <c r="TW6" s="2888" t="s">
        <v>3241</v>
      </c>
      <c r="TX6" s="2888" t="s">
        <v>3241</v>
      </c>
      <c r="TY6" s="2888" t="s">
        <v>3241</v>
      </c>
      <c r="TZ6" s="2888" t="s">
        <v>3241</v>
      </c>
      <c r="UA6" s="2888" t="s">
        <v>3241</v>
      </c>
      <c r="UB6" s="2888" t="s">
        <v>3241</v>
      </c>
      <c r="UC6" s="2888" t="s">
        <v>3241</v>
      </c>
      <c r="UD6" s="2888" t="s">
        <v>3241</v>
      </c>
      <c r="UE6" s="2888" t="s">
        <v>3241</v>
      </c>
      <c r="UF6" s="2888" t="s">
        <v>3241</v>
      </c>
      <c r="UG6" s="2888" t="s">
        <v>3241</v>
      </c>
      <c r="UH6" s="2888" t="s">
        <v>3241</v>
      </c>
      <c r="UI6" s="2888" t="s">
        <v>3241</v>
      </c>
      <c r="UJ6" s="2888" t="s">
        <v>3241</v>
      </c>
      <c r="UK6" s="2888" t="s">
        <v>3241</v>
      </c>
      <c r="UL6" s="2888" t="s">
        <v>3241</v>
      </c>
      <c r="UM6" s="2888" t="s">
        <v>3241</v>
      </c>
      <c r="UN6" s="2888" t="s">
        <v>3241</v>
      </c>
      <c r="UO6" s="2888" t="s">
        <v>3241</v>
      </c>
      <c r="UP6" s="2888" t="s">
        <v>3241</v>
      </c>
      <c r="UQ6" s="2888" t="s">
        <v>3241</v>
      </c>
      <c r="UR6" s="2888" t="s">
        <v>3241</v>
      </c>
      <c r="US6" s="2888" t="s">
        <v>3241</v>
      </c>
      <c r="UT6" s="2888" t="s">
        <v>3241</v>
      </c>
      <c r="UU6" s="2888" t="s">
        <v>3241</v>
      </c>
      <c r="UV6" s="2888" t="s">
        <v>3241</v>
      </c>
      <c r="UW6" s="2888" t="s">
        <v>3241</v>
      </c>
      <c r="UX6" s="2888" t="s">
        <v>3241</v>
      </c>
      <c r="UY6" s="2888" t="s">
        <v>3241</v>
      </c>
      <c r="UZ6" s="2888" t="s">
        <v>3241</v>
      </c>
      <c r="VA6" s="2888" t="s">
        <v>3241</v>
      </c>
      <c r="VB6" s="2888" t="s">
        <v>3241</v>
      </c>
      <c r="VC6" s="2888" t="s">
        <v>3241</v>
      </c>
      <c r="VD6" s="2888" t="s">
        <v>3241</v>
      </c>
      <c r="VE6" s="2888" t="s">
        <v>3241</v>
      </c>
      <c r="VF6" s="2888" t="s">
        <v>3241</v>
      </c>
      <c r="VG6" s="2888" t="s">
        <v>3241</v>
      </c>
      <c r="VH6" s="2888" t="s">
        <v>3241</v>
      </c>
      <c r="VI6" s="2888" t="s">
        <v>3241</v>
      </c>
      <c r="VJ6" s="2888" t="s">
        <v>3241</v>
      </c>
      <c r="VK6" s="2888" t="s">
        <v>3241</v>
      </c>
      <c r="VL6" s="2888" t="s">
        <v>3241</v>
      </c>
      <c r="VM6" s="2888" t="s">
        <v>3241</v>
      </c>
      <c r="VN6" s="2888" t="s">
        <v>3241</v>
      </c>
      <c r="VO6" s="2888" t="s">
        <v>3241</v>
      </c>
      <c r="VP6" s="2888" t="s">
        <v>3241</v>
      </c>
      <c r="VQ6" s="2888" t="s">
        <v>3241</v>
      </c>
      <c r="VR6" s="2888" t="s">
        <v>3241</v>
      </c>
      <c r="VS6" s="2888" t="s">
        <v>3241</v>
      </c>
      <c r="VT6" s="2888" t="s">
        <v>3241</v>
      </c>
      <c r="VU6" s="2888" t="s">
        <v>3241</v>
      </c>
      <c r="VV6" s="2888" t="s">
        <v>3241</v>
      </c>
      <c r="VW6" s="2888" t="s">
        <v>3241</v>
      </c>
      <c r="VX6" s="2888" t="s">
        <v>3241</v>
      </c>
      <c r="VY6" s="2888" t="s">
        <v>3241</v>
      </c>
      <c r="VZ6" s="2888" t="s">
        <v>3241</v>
      </c>
      <c r="WA6" s="2888" t="s">
        <v>3241</v>
      </c>
      <c r="WB6" s="2888" t="s">
        <v>3241</v>
      </c>
      <c r="WC6" s="2888" t="s">
        <v>3241</v>
      </c>
      <c r="WD6" s="2888" t="s">
        <v>3241</v>
      </c>
      <c r="WE6" s="2888" t="s">
        <v>3241</v>
      </c>
      <c r="WF6" s="2888" t="s">
        <v>3241</v>
      </c>
      <c r="WG6" s="2888" t="s">
        <v>3241</v>
      </c>
      <c r="WH6" s="2888" t="s">
        <v>3241</v>
      </c>
      <c r="WI6" s="2888" t="s">
        <v>3241</v>
      </c>
      <c r="WJ6" s="2888" t="s">
        <v>3241</v>
      </c>
      <c r="WK6" s="2888" t="s">
        <v>3241</v>
      </c>
      <c r="WL6" s="2888" t="s">
        <v>3241</v>
      </c>
      <c r="WM6" s="2888" t="s">
        <v>3241</v>
      </c>
      <c r="WN6" s="2888" t="s">
        <v>3241</v>
      </c>
      <c r="WO6" s="2888" t="s">
        <v>3241</v>
      </c>
      <c r="WP6" s="2888" t="s">
        <v>3241</v>
      </c>
      <c r="WQ6" s="2888" t="s">
        <v>3241</v>
      </c>
      <c r="WR6" s="2888" t="s">
        <v>3241</v>
      </c>
      <c r="WS6" s="2888" t="s">
        <v>3241</v>
      </c>
      <c r="WT6" s="2888" t="s">
        <v>3241</v>
      </c>
      <c r="WU6" s="2888" t="s">
        <v>3241</v>
      </c>
      <c r="WV6" s="2888" t="s">
        <v>3241</v>
      </c>
      <c r="WW6" s="2888" t="s">
        <v>3241</v>
      </c>
      <c r="WX6" s="2888" t="s">
        <v>3241</v>
      </c>
      <c r="WY6" s="2888" t="s">
        <v>3241</v>
      </c>
      <c r="WZ6" s="2888" t="s">
        <v>3241</v>
      </c>
      <c r="XA6" s="2888" t="s">
        <v>3241</v>
      </c>
      <c r="XB6" s="2888" t="s">
        <v>3241</v>
      </c>
      <c r="XC6" s="2888" t="s">
        <v>3241</v>
      </c>
      <c r="XD6" s="2888" t="s">
        <v>3241</v>
      </c>
      <c r="XE6" s="2888" t="s">
        <v>3241</v>
      </c>
      <c r="XF6" s="2888" t="s">
        <v>3241</v>
      </c>
      <c r="XG6" s="2888" t="s">
        <v>3241</v>
      </c>
      <c r="XH6" s="2888" t="s">
        <v>3241</v>
      </c>
      <c r="XI6" s="2888" t="s">
        <v>3241</v>
      </c>
      <c r="XJ6" s="2888" t="s">
        <v>3241</v>
      </c>
      <c r="XK6" s="2888" t="s">
        <v>3241</v>
      </c>
      <c r="XL6" s="2888" t="s">
        <v>3241</v>
      </c>
      <c r="XM6" s="2888" t="s">
        <v>3241</v>
      </c>
      <c r="XN6" s="2888" t="s">
        <v>3241</v>
      </c>
      <c r="XO6" s="2888" t="s">
        <v>3241</v>
      </c>
      <c r="XP6" s="2888" t="s">
        <v>3241</v>
      </c>
      <c r="XQ6" s="2888" t="s">
        <v>3241</v>
      </c>
      <c r="XR6" s="2888" t="s">
        <v>3241</v>
      </c>
      <c r="XS6" s="2888" t="s">
        <v>3241</v>
      </c>
      <c r="XT6" s="2888" t="s">
        <v>3241</v>
      </c>
      <c r="XU6" s="2888" t="s">
        <v>3241</v>
      </c>
      <c r="XV6" s="2888" t="s">
        <v>3241</v>
      </c>
      <c r="XW6" s="2888" t="s">
        <v>3241</v>
      </c>
      <c r="XX6" s="2888" t="s">
        <v>3241</v>
      </c>
      <c r="XY6" s="2888" t="s">
        <v>3241</v>
      </c>
      <c r="XZ6" s="2888" t="s">
        <v>3241</v>
      </c>
      <c r="YA6" s="2888" t="s">
        <v>3241</v>
      </c>
      <c r="YB6" s="2888" t="s">
        <v>3241</v>
      </c>
      <c r="YC6" s="2888" t="s">
        <v>3241</v>
      </c>
      <c r="YD6" s="2888" t="s">
        <v>3241</v>
      </c>
      <c r="YE6" s="2888" t="s">
        <v>3241</v>
      </c>
      <c r="YF6" s="2888" t="s">
        <v>3241</v>
      </c>
      <c r="YG6" s="2888" t="s">
        <v>3241</v>
      </c>
      <c r="YH6" s="2888" t="s">
        <v>3241</v>
      </c>
      <c r="YI6" s="2888" t="s">
        <v>3241</v>
      </c>
      <c r="YJ6" s="2888" t="s">
        <v>3241</v>
      </c>
      <c r="YK6" s="2888" t="s">
        <v>3241</v>
      </c>
      <c r="YL6" s="2888" t="s">
        <v>3241</v>
      </c>
      <c r="YM6" s="2888" t="s">
        <v>3241</v>
      </c>
      <c r="YN6" s="2888" t="s">
        <v>3241</v>
      </c>
      <c r="YO6" s="2888" t="s">
        <v>3241</v>
      </c>
      <c r="YP6" s="2888" t="s">
        <v>3241</v>
      </c>
      <c r="YQ6" s="2888" t="s">
        <v>3241</v>
      </c>
      <c r="YR6" s="2888" t="s">
        <v>3241</v>
      </c>
      <c r="YS6" s="2888" t="s">
        <v>3241</v>
      </c>
      <c r="YT6" s="2888" t="s">
        <v>3241</v>
      </c>
      <c r="YU6" s="2888" t="s">
        <v>3241</v>
      </c>
      <c r="YV6" s="2888" t="s">
        <v>3241</v>
      </c>
      <c r="YW6" s="2888" t="s">
        <v>3241</v>
      </c>
      <c r="YX6" s="2888" t="s">
        <v>3241</v>
      </c>
      <c r="YY6" s="2888" t="s">
        <v>3241</v>
      </c>
      <c r="YZ6" s="2888" t="s">
        <v>3241</v>
      </c>
      <c r="ZA6" s="2888" t="s">
        <v>3241</v>
      </c>
      <c r="ZB6" s="2888" t="s">
        <v>3241</v>
      </c>
      <c r="ZC6" s="2888" t="s">
        <v>3241</v>
      </c>
      <c r="ZD6" s="2888" t="s">
        <v>3241</v>
      </c>
      <c r="ZE6" s="2888" t="s">
        <v>3241</v>
      </c>
      <c r="ZF6" s="2888" t="s">
        <v>3241</v>
      </c>
      <c r="ZG6" s="2888" t="s">
        <v>3241</v>
      </c>
      <c r="ZH6" s="2888" t="s">
        <v>3241</v>
      </c>
      <c r="ZI6" s="2888" t="s">
        <v>3241</v>
      </c>
      <c r="ZJ6" s="2888" t="s">
        <v>3241</v>
      </c>
      <c r="ZK6" s="2888" t="s">
        <v>3241</v>
      </c>
      <c r="ZL6" s="2888" t="s">
        <v>3241</v>
      </c>
      <c r="ZM6" s="2888" t="s">
        <v>3241</v>
      </c>
      <c r="ZN6" s="2888" t="s">
        <v>3241</v>
      </c>
      <c r="ZO6" s="2888" t="s">
        <v>3241</v>
      </c>
      <c r="ZP6" s="2888" t="s">
        <v>3241</v>
      </c>
      <c r="ZQ6" s="2888" t="s">
        <v>3241</v>
      </c>
      <c r="ZR6" s="2888" t="s">
        <v>3241</v>
      </c>
      <c r="ZS6" s="2888" t="s">
        <v>3241</v>
      </c>
      <c r="ZT6" s="2888" t="s">
        <v>3241</v>
      </c>
      <c r="ZU6" s="2888" t="s">
        <v>3241</v>
      </c>
      <c r="ZV6" s="2888" t="s">
        <v>3241</v>
      </c>
      <c r="ZW6" s="2888" t="s">
        <v>3241</v>
      </c>
      <c r="ZX6" s="2888" t="s">
        <v>3241</v>
      </c>
      <c r="ZY6" s="2888" t="s">
        <v>3241</v>
      </c>
      <c r="ZZ6" s="2888" t="s">
        <v>3241</v>
      </c>
      <c r="AAA6" s="2888" t="s">
        <v>3241</v>
      </c>
      <c r="AAB6" s="2888" t="s">
        <v>3241</v>
      </c>
      <c r="AAC6" s="2888" t="s">
        <v>3241</v>
      </c>
      <c r="AAD6" s="2888" t="s">
        <v>3241</v>
      </c>
      <c r="AAE6" s="2888" t="s">
        <v>3241</v>
      </c>
      <c r="AAF6" s="2888" t="s">
        <v>3241</v>
      </c>
      <c r="AAG6" s="2888" t="s">
        <v>3241</v>
      </c>
      <c r="AAH6" s="2888" t="s">
        <v>3241</v>
      </c>
      <c r="AAI6" s="2888" t="s">
        <v>3241</v>
      </c>
      <c r="AAJ6" s="2888" t="s">
        <v>3241</v>
      </c>
      <c r="AAK6" s="2888" t="s">
        <v>3241</v>
      </c>
      <c r="AAL6" s="2888" t="s">
        <v>3241</v>
      </c>
      <c r="AAM6" s="2888" t="s">
        <v>3241</v>
      </c>
      <c r="AAN6" s="2888" t="s">
        <v>3241</v>
      </c>
      <c r="AAO6" s="2888" t="s">
        <v>3241</v>
      </c>
      <c r="AAP6" s="2888" t="s">
        <v>3241</v>
      </c>
      <c r="AAQ6" s="2888" t="s">
        <v>3241</v>
      </c>
      <c r="AAR6" s="2888" t="s">
        <v>3241</v>
      </c>
      <c r="AAS6" s="2888" t="s">
        <v>3241</v>
      </c>
      <c r="AAT6" s="2888" t="s">
        <v>3241</v>
      </c>
      <c r="AAU6" s="2888" t="s">
        <v>3241</v>
      </c>
      <c r="AAV6" s="2888" t="s">
        <v>3241</v>
      </c>
      <c r="AAW6" s="2888" t="s">
        <v>3241</v>
      </c>
      <c r="AAX6" s="2888" t="s">
        <v>3241</v>
      </c>
      <c r="AAY6" s="2888" t="s">
        <v>3241</v>
      </c>
      <c r="AAZ6" s="2888" t="s">
        <v>3241</v>
      </c>
      <c r="ABA6" s="2888" t="s">
        <v>3241</v>
      </c>
      <c r="ABB6" s="2888" t="s">
        <v>3241</v>
      </c>
      <c r="ABC6" s="2888" t="s">
        <v>3241</v>
      </c>
      <c r="ABD6" s="2888" t="s">
        <v>3241</v>
      </c>
      <c r="ABE6" s="2888" t="s">
        <v>3241</v>
      </c>
      <c r="ABF6" s="2888" t="s">
        <v>3241</v>
      </c>
      <c r="ABG6" s="2888" t="s">
        <v>3241</v>
      </c>
      <c r="ABH6" s="2888" t="s">
        <v>3241</v>
      </c>
      <c r="ABI6" s="2888" t="s">
        <v>3241</v>
      </c>
      <c r="ABJ6" s="2888" t="s">
        <v>3241</v>
      </c>
      <c r="ABK6" s="2888" t="s">
        <v>3241</v>
      </c>
      <c r="ABL6" s="2888" t="s">
        <v>3241</v>
      </c>
      <c r="ABM6" s="2888" t="s">
        <v>3241</v>
      </c>
      <c r="ABN6" s="2888" t="s">
        <v>3241</v>
      </c>
      <c r="ABO6" s="2888" t="s">
        <v>3241</v>
      </c>
      <c r="ABP6" s="2888" t="s">
        <v>3241</v>
      </c>
      <c r="ABQ6" s="2888" t="s">
        <v>3241</v>
      </c>
      <c r="ABR6" s="2888" t="s">
        <v>3241</v>
      </c>
      <c r="ABS6" s="2888" t="s">
        <v>3241</v>
      </c>
      <c r="ABT6" s="2888" t="s">
        <v>3241</v>
      </c>
      <c r="ABU6" s="2888" t="s">
        <v>3241</v>
      </c>
      <c r="ABV6" s="2888" t="s">
        <v>3241</v>
      </c>
      <c r="ABW6" s="2888" t="s">
        <v>3241</v>
      </c>
      <c r="ABX6" s="2888" t="s">
        <v>3241</v>
      </c>
      <c r="ABY6" s="2888" t="s">
        <v>3241</v>
      </c>
      <c r="ABZ6" s="2888" t="s">
        <v>3241</v>
      </c>
      <c r="ACA6" s="2888" t="s">
        <v>3241</v>
      </c>
      <c r="ACB6" s="2888" t="s">
        <v>3241</v>
      </c>
      <c r="ACC6" s="2888" t="s">
        <v>3241</v>
      </c>
      <c r="ACD6" s="2888" t="s">
        <v>3241</v>
      </c>
      <c r="ACE6" s="2888" t="s">
        <v>3241</v>
      </c>
      <c r="ACF6" s="2888" t="s">
        <v>3241</v>
      </c>
      <c r="ACG6" s="2888" t="s">
        <v>3241</v>
      </c>
      <c r="ACH6" s="2888" t="s">
        <v>3241</v>
      </c>
      <c r="ACI6" s="2888" t="s">
        <v>3241</v>
      </c>
      <c r="ACJ6" s="2888" t="s">
        <v>3241</v>
      </c>
      <c r="ACK6" s="2888" t="s">
        <v>3241</v>
      </c>
      <c r="ACL6" s="2888" t="s">
        <v>3241</v>
      </c>
      <c r="ACM6" s="2888" t="s">
        <v>3241</v>
      </c>
      <c r="ACN6" s="2888" t="s">
        <v>3241</v>
      </c>
      <c r="ACO6" s="2888" t="s">
        <v>3241</v>
      </c>
      <c r="ACP6" s="2888" t="s">
        <v>3241</v>
      </c>
      <c r="ACQ6" s="2888" t="s">
        <v>3241</v>
      </c>
      <c r="ACR6" s="2888" t="s">
        <v>3241</v>
      </c>
      <c r="ACS6" s="2888" t="s">
        <v>3241</v>
      </c>
      <c r="ACT6" s="2888" t="s">
        <v>3241</v>
      </c>
      <c r="ACU6" s="2888" t="s">
        <v>3241</v>
      </c>
      <c r="ACV6" s="2888" t="s">
        <v>3241</v>
      </c>
      <c r="ACW6" s="2888" t="s">
        <v>3241</v>
      </c>
      <c r="ACX6" s="2888" t="s">
        <v>3241</v>
      </c>
      <c r="ACY6" s="2888" t="s">
        <v>3241</v>
      </c>
      <c r="ACZ6" s="2888" t="s">
        <v>3241</v>
      </c>
      <c r="ADA6" s="2888" t="s">
        <v>3241</v>
      </c>
      <c r="ADB6" s="2888" t="s">
        <v>3241</v>
      </c>
      <c r="ADC6" s="2888" t="s">
        <v>3241</v>
      </c>
      <c r="ADD6" s="2888" t="s">
        <v>3241</v>
      </c>
      <c r="ADE6" s="2888" t="s">
        <v>3241</v>
      </c>
      <c r="ADF6" s="2888" t="s">
        <v>3241</v>
      </c>
      <c r="ADG6" s="2888" t="s">
        <v>3241</v>
      </c>
      <c r="ADH6" s="2888" t="s">
        <v>3241</v>
      </c>
      <c r="ADI6" s="2888" t="s">
        <v>3241</v>
      </c>
      <c r="ADJ6" s="2888" t="s">
        <v>3241</v>
      </c>
      <c r="ADK6" s="2888" t="s">
        <v>3241</v>
      </c>
      <c r="ADL6" s="2888" t="s">
        <v>3241</v>
      </c>
      <c r="ADM6" s="2888" t="s">
        <v>3241</v>
      </c>
      <c r="ADN6" s="2888" t="s">
        <v>3241</v>
      </c>
      <c r="ADO6" s="2888" t="s">
        <v>3241</v>
      </c>
      <c r="ADP6" s="2888" t="s">
        <v>3241</v>
      </c>
      <c r="ADQ6" s="2888" t="s">
        <v>3241</v>
      </c>
      <c r="ADR6" s="2888" t="s">
        <v>3241</v>
      </c>
      <c r="ADS6" s="2888" t="s">
        <v>3241</v>
      </c>
      <c r="ADT6" s="2888" t="s">
        <v>3241</v>
      </c>
      <c r="ADU6" s="2888" t="s">
        <v>3241</v>
      </c>
      <c r="ADV6" s="2888" t="s">
        <v>3241</v>
      </c>
      <c r="ADW6" s="2888" t="s">
        <v>3241</v>
      </c>
      <c r="ADX6" s="2888" t="s">
        <v>3241</v>
      </c>
      <c r="ADY6" s="2888" t="s">
        <v>3241</v>
      </c>
      <c r="ADZ6" s="2888" t="s">
        <v>3241</v>
      </c>
      <c r="AEA6" s="2888" t="s">
        <v>3241</v>
      </c>
      <c r="AEB6" s="2888" t="s">
        <v>3241</v>
      </c>
      <c r="AEC6" s="2888" t="s">
        <v>3241</v>
      </c>
      <c r="AED6" s="2888" t="s">
        <v>3241</v>
      </c>
      <c r="AEE6" s="2888" t="s">
        <v>3241</v>
      </c>
      <c r="AEF6" s="2888" t="s">
        <v>3241</v>
      </c>
      <c r="AEG6" s="2888" t="s">
        <v>3241</v>
      </c>
      <c r="AEH6" s="2888" t="s">
        <v>3241</v>
      </c>
      <c r="AEI6" s="2888" t="s">
        <v>3241</v>
      </c>
      <c r="AEJ6" s="2888" t="s">
        <v>3241</v>
      </c>
      <c r="AEK6" s="2888" t="s">
        <v>3241</v>
      </c>
      <c r="AEL6" s="2888" t="s">
        <v>3241</v>
      </c>
      <c r="AEM6" s="2888" t="s">
        <v>3241</v>
      </c>
      <c r="AEN6" s="2888" t="s">
        <v>3241</v>
      </c>
      <c r="AEO6" s="2888" t="s">
        <v>3241</v>
      </c>
      <c r="AEP6" s="2888" t="s">
        <v>3241</v>
      </c>
      <c r="AEQ6" s="2888" t="s">
        <v>3241</v>
      </c>
      <c r="AER6" s="2888" t="s">
        <v>3241</v>
      </c>
      <c r="AES6" s="2888" t="s">
        <v>3241</v>
      </c>
      <c r="AET6" s="2888" t="s">
        <v>3241</v>
      </c>
      <c r="AEU6" s="2888" t="s">
        <v>3241</v>
      </c>
      <c r="AEV6" s="2888" t="s">
        <v>3241</v>
      </c>
      <c r="AEW6" s="2888" t="s">
        <v>3241</v>
      </c>
      <c r="AEX6" s="2888" t="s">
        <v>3241</v>
      </c>
      <c r="AEY6" s="2888" t="s">
        <v>3241</v>
      </c>
      <c r="AEZ6" s="2888" t="s">
        <v>3241</v>
      </c>
      <c r="AFA6" s="2888" t="s">
        <v>3241</v>
      </c>
      <c r="AFB6" s="2888" t="s">
        <v>3241</v>
      </c>
      <c r="AFC6" s="2888" t="s">
        <v>3241</v>
      </c>
      <c r="AFD6" s="2888" t="s">
        <v>3241</v>
      </c>
      <c r="AFE6" s="2888" t="s">
        <v>3241</v>
      </c>
      <c r="AFF6" s="2888" t="s">
        <v>3241</v>
      </c>
      <c r="AFG6" s="2888" t="s">
        <v>3241</v>
      </c>
      <c r="AFH6" s="2888" t="s">
        <v>3241</v>
      </c>
      <c r="AFI6" s="2888" t="s">
        <v>3241</v>
      </c>
      <c r="AFJ6" s="2888" t="s">
        <v>3241</v>
      </c>
      <c r="AFK6" s="2888" t="s">
        <v>3241</v>
      </c>
      <c r="AFL6" s="2888" t="s">
        <v>3241</v>
      </c>
      <c r="AFM6" s="2888" t="s">
        <v>3241</v>
      </c>
      <c r="AFN6" s="2888" t="s">
        <v>3241</v>
      </c>
      <c r="AFO6" s="2888" t="s">
        <v>3241</v>
      </c>
      <c r="AFP6" s="2888" t="s">
        <v>3241</v>
      </c>
      <c r="AFQ6" s="2888" t="s">
        <v>3241</v>
      </c>
      <c r="AFR6" s="2888" t="s">
        <v>3241</v>
      </c>
      <c r="AFS6" s="2888" t="s">
        <v>3241</v>
      </c>
      <c r="AFT6" s="2888" t="s">
        <v>3241</v>
      </c>
      <c r="AFU6" s="2888" t="s">
        <v>3241</v>
      </c>
      <c r="AFV6" s="2888" t="s">
        <v>3241</v>
      </c>
      <c r="AFW6" s="2888" t="s">
        <v>3241</v>
      </c>
      <c r="AFX6" s="2888" t="s">
        <v>3241</v>
      </c>
      <c r="AFY6" s="2888" t="s">
        <v>3241</v>
      </c>
      <c r="AFZ6" s="2888" t="s">
        <v>3241</v>
      </c>
      <c r="AGA6" s="2888" t="s">
        <v>3241</v>
      </c>
      <c r="AGB6" s="2888" t="s">
        <v>3241</v>
      </c>
      <c r="AGC6" s="2888" t="s">
        <v>3241</v>
      </c>
      <c r="AGD6" s="2888" t="s">
        <v>3241</v>
      </c>
      <c r="AGE6" s="2888" t="s">
        <v>3241</v>
      </c>
      <c r="AGF6" s="2888" t="s">
        <v>3241</v>
      </c>
      <c r="AGG6" s="2888" t="s">
        <v>3241</v>
      </c>
      <c r="AGH6" s="2888" t="s">
        <v>3241</v>
      </c>
      <c r="AGI6" s="2888" t="s">
        <v>3241</v>
      </c>
      <c r="AGJ6" s="2888" t="s">
        <v>3241</v>
      </c>
      <c r="AGK6" s="2888" t="s">
        <v>3241</v>
      </c>
      <c r="AGL6" s="2888" t="s">
        <v>3241</v>
      </c>
      <c r="AGM6" s="2888" t="s">
        <v>3241</v>
      </c>
      <c r="AGN6" s="2888" t="s">
        <v>3241</v>
      </c>
      <c r="AGO6" s="2888" t="s">
        <v>3241</v>
      </c>
      <c r="AGP6" s="2888" t="s">
        <v>3241</v>
      </c>
      <c r="AGQ6" s="2888" t="s">
        <v>3241</v>
      </c>
      <c r="AGR6" s="2888" t="s">
        <v>3241</v>
      </c>
      <c r="AGS6" s="2888" t="s">
        <v>3241</v>
      </c>
      <c r="AGT6" s="2888" t="s">
        <v>3241</v>
      </c>
      <c r="AGU6" s="2888" t="s">
        <v>3241</v>
      </c>
      <c r="AGV6" s="2888" t="s">
        <v>3241</v>
      </c>
      <c r="AGW6" s="2888" t="s">
        <v>3241</v>
      </c>
      <c r="AGX6" s="2888" t="s">
        <v>3241</v>
      </c>
      <c r="AGY6" s="2888" t="s">
        <v>3241</v>
      </c>
      <c r="AGZ6" s="2888" t="s">
        <v>3241</v>
      </c>
      <c r="AHA6" s="2888" t="s">
        <v>3241</v>
      </c>
      <c r="AHB6" s="2888" t="s">
        <v>3241</v>
      </c>
      <c r="AHC6" s="2888" t="s">
        <v>3241</v>
      </c>
      <c r="AHD6" s="2888" t="s">
        <v>3241</v>
      </c>
      <c r="AHE6" s="2888" t="s">
        <v>3241</v>
      </c>
      <c r="AHF6" s="2888" t="s">
        <v>3241</v>
      </c>
      <c r="AHG6" s="2888" t="s">
        <v>3241</v>
      </c>
      <c r="AHH6" s="2888" t="s">
        <v>3241</v>
      </c>
      <c r="AHI6" s="2888" t="s">
        <v>3241</v>
      </c>
      <c r="AHJ6" s="2888" t="s">
        <v>3241</v>
      </c>
      <c r="AHK6" s="2888" t="s">
        <v>3241</v>
      </c>
      <c r="AHL6" s="2888" t="s">
        <v>3241</v>
      </c>
      <c r="AHM6" s="2888" t="s">
        <v>3241</v>
      </c>
      <c r="AHN6" s="2888" t="s">
        <v>3241</v>
      </c>
      <c r="AHO6" s="2888" t="s">
        <v>3241</v>
      </c>
      <c r="AHP6" s="2888" t="s">
        <v>3241</v>
      </c>
      <c r="AHQ6" s="2888" t="s">
        <v>3241</v>
      </c>
      <c r="AHR6" s="2888" t="s">
        <v>3241</v>
      </c>
      <c r="AHS6" s="2888" t="s">
        <v>3241</v>
      </c>
      <c r="AHT6" s="2888" t="s">
        <v>3241</v>
      </c>
      <c r="AHU6" s="2888" t="s">
        <v>3241</v>
      </c>
      <c r="AHV6" s="2888" t="s">
        <v>3241</v>
      </c>
      <c r="AHW6" s="2888" t="s">
        <v>3241</v>
      </c>
      <c r="AHX6" s="2888" t="s">
        <v>3241</v>
      </c>
      <c r="AHY6" s="2888" t="s">
        <v>3241</v>
      </c>
      <c r="AHZ6" s="2888" t="s">
        <v>3241</v>
      </c>
      <c r="AIA6" s="2888" t="s">
        <v>3241</v>
      </c>
      <c r="AIB6" s="2888" t="s">
        <v>3241</v>
      </c>
      <c r="AIC6" s="2888" t="s">
        <v>3241</v>
      </c>
      <c r="AID6" s="2888" t="s">
        <v>3241</v>
      </c>
      <c r="AIE6" s="2888" t="s">
        <v>3241</v>
      </c>
      <c r="AIF6" s="2888" t="s">
        <v>3241</v>
      </c>
      <c r="AIG6" s="2888" t="s">
        <v>3241</v>
      </c>
      <c r="AIH6" s="2888" t="s">
        <v>3241</v>
      </c>
      <c r="AII6" s="2888" t="s">
        <v>3241</v>
      </c>
      <c r="AIJ6" s="2888" t="s">
        <v>3241</v>
      </c>
      <c r="AIK6" s="2888" t="s">
        <v>3241</v>
      </c>
      <c r="AIL6" s="2888" t="s">
        <v>3241</v>
      </c>
      <c r="AIM6" s="2888" t="s">
        <v>3241</v>
      </c>
      <c r="AIN6" s="2888" t="s">
        <v>3241</v>
      </c>
      <c r="AIO6" s="2888" t="s">
        <v>3241</v>
      </c>
      <c r="AIP6" s="2888" t="s">
        <v>3241</v>
      </c>
      <c r="AIQ6" s="2888" t="s">
        <v>3241</v>
      </c>
      <c r="AIR6" s="2888" t="s">
        <v>3241</v>
      </c>
      <c r="AIS6" s="2888" t="s">
        <v>3241</v>
      </c>
      <c r="AIT6" s="2888" t="s">
        <v>3241</v>
      </c>
      <c r="AIU6" s="2888" t="s">
        <v>3241</v>
      </c>
      <c r="AIV6" s="2888" t="s">
        <v>3241</v>
      </c>
      <c r="AIW6" s="2888" t="s">
        <v>3241</v>
      </c>
      <c r="AIX6" s="2888" t="s">
        <v>3241</v>
      </c>
      <c r="AIY6" s="2888" t="s">
        <v>3241</v>
      </c>
      <c r="AIZ6" s="2888" t="s">
        <v>3241</v>
      </c>
      <c r="AJA6" s="2888" t="s">
        <v>3241</v>
      </c>
      <c r="AJB6" s="2888" t="s">
        <v>3241</v>
      </c>
      <c r="AJC6" s="2888" t="s">
        <v>3241</v>
      </c>
      <c r="AJD6" s="2888" t="s">
        <v>3241</v>
      </c>
      <c r="AJE6" s="2888" t="s">
        <v>3241</v>
      </c>
      <c r="AJF6" s="2888" t="s">
        <v>3241</v>
      </c>
      <c r="AJG6" s="2888" t="s">
        <v>3241</v>
      </c>
      <c r="AJH6" s="2888" t="s">
        <v>3241</v>
      </c>
      <c r="AJI6" s="2888" t="s">
        <v>3241</v>
      </c>
      <c r="AJJ6" s="2888" t="s">
        <v>3241</v>
      </c>
      <c r="AJK6" s="2888" t="s">
        <v>3241</v>
      </c>
      <c r="AJL6" s="2888" t="s">
        <v>3241</v>
      </c>
      <c r="AJM6" s="2888" t="s">
        <v>3241</v>
      </c>
      <c r="AJN6" s="2888" t="s">
        <v>3241</v>
      </c>
      <c r="AJO6" s="2888" t="s">
        <v>3241</v>
      </c>
      <c r="AJP6" s="2888" t="s">
        <v>3241</v>
      </c>
      <c r="AJQ6" s="2888" t="s">
        <v>3241</v>
      </c>
      <c r="AJR6" s="2888" t="s">
        <v>3241</v>
      </c>
      <c r="AJS6" s="2888" t="s">
        <v>3241</v>
      </c>
      <c r="AJT6" s="2888" t="s">
        <v>3241</v>
      </c>
      <c r="AJU6" s="2888" t="s">
        <v>3241</v>
      </c>
      <c r="AJV6" s="2888" t="s">
        <v>3241</v>
      </c>
      <c r="AJW6" s="2888" t="s">
        <v>3241</v>
      </c>
      <c r="AJX6" s="2888" t="s">
        <v>3241</v>
      </c>
      <c r="AJY6" s="2888" t="s">
        <v>3241</v>
      </c>
      <c r="AJZ6" s="2888" t="s">
        <v>3241</v>
      </c>
      <c r="AKA6" s="2888" t="s">
        <v>3241</v>
      </c>
      <c r="AKB6" s="2888" t="s">
        <v>3241</v>
      </c>
      <c r="AKC6" s="2888" t="s">
        <v>3241</v>
      </c>
      <c r="AKD6" s="2888" t="s">
        <v>3241</v>
      </c>
      <c r="AKE6" s="2888" t="s">
        <v>3241</v>
      </c>
      <c r="AKF6" s="2888" t="s">
        <v>3241</v>
      </c>
      <c r="AKG6" s="2888" t="s">
        <v>3241</v>
      </c>
      <c r="AKH6" s="2888" t="s">
        <v>3241</v>
      </c>
      <c r="AKI6" s="2888" t="s">
        <v>3241</v>
      </c>
      <c r="AKJ6" s="2888" t="s">
        <v>3241</v>
      </c>
      <c r="AKK6" s="2888" t="s">
        <v>3241</v>
      </c>
      <c r="AKL6" s="2888" t="s">
        <v>3241</v>
      </c>
      <c r="AKM6" s="2888" t="s">
        <v>3241</v>
      </c>
      <c r="AKN6" s="2888" t="s">
        <v>3241</v>
      </c>
      <c r="AKO6" s="2888" t="s">
        <v>3241</v>
      </c>
      <c r="AKP6" s="2888" t="s">
        <v>3241</v>
      </c>
      <c r="AKQ6" s="2888" t="s">
        <v>3241</v>
      </c>
      <c r="AKR6" s="2888" t="s">
        <v>3241</v>
      </c>
      <c r="AKS6" s="2888" t="s">
        <v>3241</v>
      </c>
      <c r="AKT6" s="2888" t="s">
        <v>3241</v>
      </c>
      <c r="AKU6" s="2888" t="s">
        <v>3241</v>
      </c>
      <c r="AKV6" s="2888" t="s">
        <v>3241</v>
      </c>
      <c r="AKW6" s="2888" t="s">
        <v>3241</v>
      </c>
      <c r="AKX6" s="2888" t="s">
        <v>3241</v>
      </c>
      <c r="AKY6" s="2888" t="s">
        <v>3241</v>
      </c>
      <c r="AKZ6" s="2888" t="s">
        <v>3241</v>
      </c>
      <c r="ALA6" s="2888" t="s">
        <v>3241</v>
      </c>
      <c r="ALB6" s="2888" t="s">
        <v>3241</v>
      </c>
      <c r="ALC6" s="2888" t="s">
        <v>3241</v>
      </c>
      <c r="ALD6" s="2888" t="s">
        <v>3241</v>
      </c>
      <c r="ALE6" s="2888" t="s">
        <v>3241</v>
      </c>
      <c r="ALF6" s="2888" t="s">
        <v>3241</v>
      </c>
      <c r="ALG6" s="2888" t="s">
        <v>3241</v>
      </c>
      <c r="ALH6" s="2888" t="s">
        <v>3241</v>
      </c>
      <c r="ALI6" s="2888" t="s">
        <v>3241</v>
      </c>
      <c r="ALJ6" s="2888" t="s">
        <v>3241</v>
      </c>
      <c r="ALK6" s="2888" t="s">
        <v>3241</v>
      </c>
      <c r="ALL6" s="2888" t="s">
        <v>3241</v>
      </c>
      <c r="ALM6" s="2888" t="s">
        <v>3241</v>
      </c>
      <c r="ALN6" s="2888" t="s">
        <v>3241</v>
      </c>
      <c r="ALO6" s="2888" t="s">
        <v>3241</v>
      </c>
      <c r="ALP6" s="2888" t="s">
        <v>3241</v>
      </c>
      <c r="ALQ6" s="2888" t="s">
        <v>3241</v>
      </c>
      <c r="ALR6" s="2888" t="s">
        <v>3241</v>
      </c>
      <c r="ALS6" s="2888" t="s">
        <v>3241</v>
      </c>
      <c r="ALT6" s="2888" t="s">
        <v>3241</v>
      </c>
      <c r="ALU6" s="2888" t="s">
        <v>3241</v>
      </c>
      <c r="ALV6" s="2888" t="s">
        <v>3241</v>
      </c>
      <c r="ALW6" s="2888" t="s">
        <v>3241</v>
      </c>
      <c r="ALX6" s="2888" t="s">
        <v>3241</v>
      </c>
      <c r="ALY6" s="2888" t="s">
        <v>3241</v>
      </c>
      <c r="ALZ6" s="2888" t="s">
        <v>3241</v>
      </c>
      <c r="AMA6" s="2888" t="s">
        <v>3241</v>
      </c>
      <c r="AMB6" s="2888" t="s">
        <v>3241</v>
      </c>
      <c r="AMC6" s="2888" t="s">
        <v>3241</v>
      </c>
      <c r="AMD6" s="2888" t="s">
        <v>3241</v>
      </c>
      <c r="AME6" s="2888" t="s">
        <v>3241</v>
      </c>
      <c r="AMF6" s="2888" t="s">
        <v>3241</v>
      </c>
      <c r="AMG6" s="2888" t="s">
        <v>3241</v>
      </c>
      <c r="AMH6" s="2888" t="s">
        <v>3241</v>
      </c>
      <c r="AMI6" s="2888" t="s">
        <v>3241</v>
      </c>
      <c r="AMJ6" s="2888" t="s">
        <v>3241</v>
      </c>
      <c r="AMK6" s="2888" t="s">
        <v>3241</v>
      </c>
      <c r="AML6" s="2888" t="s">
        <v>3241</v>
      </c>
      <c r="AMM6" s="2888" t="s">
        <v>3241</v>
      </c>
      <c r="AMN6" s="2888" t="s">
        <v>3241</v>
      </c>
      <c r="AMO6" s="2888" t="s">
        <v>3241</v>
      </c>
      <c r="AMP6" s="2888" t="s">
        <v>3241</v>
      </c>
      <c r="AMQ6" s="2888" t="s">
        <v>3241</v>
      </c>
      <c r="AMR6" s="2888" t="s">
        <v>3241</v>
      </c>
      <c r="AMS6" s="2888" t="s">
        <v>3241</v>
      </c>
      <c r="AMT6" s="2888" t="s">
        <v>3241</v>
      </c>
      <c r="AMU6" s="2888" t="s">
        <v>3241</v>
      </c>
      <c r="AMV6" s="2888" t="s">
        <v>3241</v>
      </c>
      <c r="AMW6" s="2888" t="s">
        <v>3241</v>
      </c>
      <c r="AMX6" s="2888" t="s">
        <v>3241</v>
      </c>
      <c r="AMY6" s="2888" t="s">
        <v>3241</v>
      </c>
      <c r="AMZ6" s="2888" t="s">
        <v>3241</v>
      </c>
      <c r="ANA6" s="2888" t="s">
        <v>3241</v>
      </c>
      <c r="ANB6" s="2888" t="s">
        <v>3241</v>
      </c>
      <c r="ANC6" s="2888" t="s">
        <v>3241</v>
      </c>
      <c r="AND6" s="2888" t="s">
        <v>3241</v>
      </c>
      <c r="ANE6" s="2888" t="s">
        <v>3241</v>
      </c>
      <c r="ANF6" s="2888" t="s">
        <v>3241</v>
      </c>
      <c r="ANG6" s="2888" t="s">
        <v>3241</v>
      </c>
      <c r="ANH6" s="2888" t="s">
        <v>3241</v>
      </c>
      <c r="ANI6" s="2888" t="s">
        <v>3241</v>
      </c>
      <c r="ANJ6" s="2888" t="s">
        <v>3241</v>
      </c>
      <c r="ANK6" s="2888" t="s">
        <v>3241</v>
      </c>
      <c r="ANL6" s="2888" t="s">
        <v>3241</v>
      </c>
      <c r="ANM6" s="2888" t="s">
        <v>3241</v>
      </c>
      <c r="ANN6" s="2888" t="s">
        <v>3241</v>
      </c>
      <c r="ANO6" s="2888" t="s">
        <v>3241</v>
      </c>
      <c r="ANP6" s="2888" t="s">
        <v>3241</v>
      </c>
      <c r="ANQ6" s="2888" t="s">
        <v>3241</v>
      </c>
      <c r="ANR6" s="2888" t="s">
        <v>3241</v>
      </c>
      <c r="ANS6" s="2888" t="s">
        <v>3241</v>
      </c>
      <c r="ANT6" s="2888" t="s">
        <v>3241</v>
      </c>
      <c r="ANU6" s="2888" t="s">
        <v>3241</v>
      </c>
      <c r="ANV6" s="2888" t="s">
        <v>3241</v>
      </c>
      <c r="ANW6" s="2888" t="s">
        <v>3241</v>
      </c>
      <c r="ANX6" s="2888" t="s">
        <v>3241</v>
      </c>
      <c r="ANY6" s="2888" t="s">
        <v>3241</v>
      </c>
      <c r="ANZ6" s="2888" t="s">
        <v>3241</v>
      </c>
      <c r="AOA6" s="2888" t="s">
        <v>3241</v>
      </c>
      <c r="AOB6" s="2888" t="s">
        <v>3241</v>
      </c>
      <c r="AOC6" s="2888" t="s">
        <v>3241</v>
      </c>
      <c r="AOD6" s="2888" t="s">
        <v>3241</v>
      </c>
      <c r="AOE6" s="2888" t="s">
        <v>3241</v>
      </c>
      <c r="AOF6" s="2888" t="s">
        <v>3241</v>
      </c>
      <c r="AOG6" s="2888" t="s">
        <v>3241</v>
      </c>
      <c r="AOH6" s="2888" t="s">
        <v>3241</v>
      </c>
      <c r="AOI6" s="2888" t="s">
        <v>3241</v>
      </c>
      <c r="AOJ6" s="2888" t="s">
        <v>3241</v>
      </c>
      <c r="AOK6" s="2888" t="s">
        <v>3241</v>
      </c>
      <c r="AOL6" s="2888" t="s">
        <v>3241</v>
      </c>
      <c r="AOM6" s="2888" t="s">
        <v>3241</v>
      </c>
      <c r="AON6" s="2888" t="s">
        <v>3241</v>
      </c>
      <c r="AOO6" s="2888" t="s">
        <v>3241</v>
      </c>
      <c r="AOP6" s="2888" t="s">
        <v>3241</v>
      </c>
      <c r="AOQ6" s="2888" t="s">
        <v>3241</v>
      </c>
      <c r="AOR6" s="2888" t="s">
        <v>3241</v>
      </c>
      <c r="AOS6" s="2888" t="s">
        <v>3241</v>
      </c>
      <c r="AOT6" s="2888" t="s">
        <v>3241</v>
      </c>
      <c r="AOU6" s="2888" t="s">
        <v>3241</v>
      </c>
      <c r="AOV6" s="2888" t="s">
        <v>3241</v>
      </c>
      <c r="AOW6" s="2888" t="s">
        <v>3241</v>
      </c>
      <c r="AOX6" s="2888" t="s">
        <v>3241</v>
      </c>
      <c r="AOY6" s="2888" t="s">
        <v>3241</v>
      </c>
      <c r="AOZ6" s="2888" t="s">
        <v>3241</v>
      </c>
      <c r="APA6" s="2888" t="s">
        <v>3241</v>
      </c>
      <c r="APB6" s="2888" t="s">
        <v>3241</v>
      </c>
      <c r="APC6" s="2888" t="s">
        <v>3241</v>
      </c>
      <c r="APD6" s="2888" t="s">
        <v>3241</v>
      </c>
      <c r="APE6" s="2888" t="s">
        <v>3241</v>
      </c>
      <c r="APF6" s="2888" t="s">
        <v>3241</v>
      </c>
      <c r="APG6" s="2888" t="s">
        <v>3241</v>
      </c>
      <c r="APH6" s="2888" t="s">
        <v>3241</v>
      </c>
      <c r="API6" s="2888" t="s">
        <v>3241</v>
      </c>
      <c r="APJ6" s="2888" t="s">
        <v>3241</v>
      </c>
      <c r="APK6" s="2888" t="s">
        <v>3241</v>
      </c>
      <c r="APL6" s="2888" t="s">
        <v>3241</v>
      </c>
      <c r="APM6" s="2888" t="s">
        <v>3241</v>
      </c>
      <c r="APN6" s="2888" t="s">
        <v>3241</v>
      </c>
      <c r="APO6" s="2888" t="s">
        <v>3241</v>
      </c>
      <c r="APP6" s="2888" t="s">
        <v>3241</v>
      </c>
      <c r="APQ6" s="2888" t="s">
        <v>3241</v>
      </c>
      <c r="APR6" s="2888" t="s">
        <v>3241</v>
      </c>
      <c r="APS6" s="2888" t="s">
        <v>3241</v>
      </c>
      <c r="APT6" s="2888" t="s">
        <v>3241</v>
      </c>
      <c r="APU6" s="2888" t="s">
        <v>3241</v>
      </c>
      <c r="APV6" s="2888" t="s">
        <v>3241</v>
      </c>
      <c r="APW6" s="2888" t="s">
        <v>3241</v>
      </c>
      <c r="APX6" s="2888" t="s">
        <v>3241</v>
      </c>
      <c r="APY6" s="2888" t="s">
        <v>3241</v>
      </c>
      <c r="APZ6" s="2888" t="s">
        <v>3241</v>
      </c>
      <c r="AQA6" s="2888" t="s">
        <v>3241</v>
      </c>
      <c r="AQB6" s="2888" t="s">
        <v>3241</v>
      </c>
      <c r="AQC6" s="2888" t="s">
        <v>3241</v>
      </c>
      <c r="AQD6" s="2888" t="s">
        <v>3241</v>
      </c>
      <c r="AQE6" s="2888" t="s">
        <v>3241</v>
      </c>
      <c r="AQF6" s="2888" t="s">
        <v>3241</v>
      </c>
      <c r="AQG6" s="2888" t="s">
        <v>3241</v>
      </c>
      <c r="AQH6" s="2888" t="s">
        <v>3241</v>
      </c>
      <c r="AQI6" s="2888" t="s">
        <v>3241</v>
      </c>
      <c r="AQJ6" s="2888" t="s">
        <v>3241</v>
      </c>
      <c r="AQK6" s="2888" t="s">
        <v>3241</v>
      </c>
      <c r="AQL6" s="2888" t="s">
        <v>3241</v>
      </c>
      <c r="AQM6" s="2888" t="s">
        <v>3241</v>
      </c>
      <c r="AQN6" s="2888" t="s">
        <v>3241</v>
      </c>
      <c r="AQO6" s="2888" t="s">
        <v>3241</v>
      </c>
      <c r="AQP6" s="2888" t="s">
        <v>3241</v>
      </c>
      <c r="AQQ6" s="2888" t="s">
        <v>3241</v>
      </c>
      <c r="AQR6" s="2888" t="s">
        <v>3241</v>
      </c>
      <c r="AQS6" s="2888" t="s">
        <v>3241</v>
      </c>
      <c r="AQT6" s="2888" t="s">
        <v>3241</v>
      </c>
      <c r="AQU6" s="2888" t="s">
        <v>3241</v>
      </c>
      <c r="AQV6" s="2888" t="s">
        <v>3241</v>
      </c>
      <c r="AQW6" s="2888" t="s">
        <v>3241</v>
      </c>
      <c r="AQX6" s="2888" t="s">
        <v>3241</v>
      </c>
      <c r="AQY6" s="2888" t="s">
        <v>3241</v>
      </c>
      <c r="AQZ6" s="2888" t="s">
        <v>3241</v>
      </c>
      <c r="ARA6" s="2888" t="s">
        <v>3241</v>
      </c>
      <c r="ARB6" s="2888" t="s">
        <v>3241</v>
      </c>
      <c r="ARC6" s="2888" t="s">
        <v>3241</v>
      </c>
      <c r="ARD6" s="2888" t="s">
        <v>3241</v>
      </c>
      <c r="ARE6" s="2888" t="s">
        <v>3241</v>
      </c>
      <c r="ARF6" s="2888" t="s">
        <v>3241</v>
      </c>
      <c r="ARG6" s="2888" t="s">
        <v>3241</v>
      </c>
      <c r="ARH6" s="2888" t="s">
        <v>3241</v>
      </c>
      <c r="ARI6" s="2888" t="s">
        <v>3241</v>
      </c>
      <c r="ARJ6" s="2888" t="s">
        <v>3241</v>
      </c>
      <c r="ARK6" s="2888" t="s">
        <v>3241</v>
      </c>
      <c r="ARL6" s="2888" t="s">
        <v>3241</v>
      </c>
      <c r="ARM6" s="2888" t="s">
        <v>3241</v>
      </c>
      <c r="ARN6" s="2888" t="s">
        <v>3241</v>
      </c>
      <c r="ARO6" s="2888" t="s">
        <v>3241</v>
      </c>
      <c r="ARP6" s="2888" t="s">
        <v>3241</v>
      </c>
      <c r="ARQ6" s="2888" t="s">
        <v>3241</v>
      </c>
      <c r="ARR6" s="2888" t="s">
        <v>3241</v>
      </c>
      <c r="ARS6" s="2888" t="s">
        <v>3241</v>
      </c>
      <c r="ART6" s="2888" t="s">
        <v>3241</v>
      </c>
      <c r="ARU6" s="2888" t="s">
        <v>3241</v>
      </c>
      <c r="ARV6" s="2888" t="s">
        <v>3241</v>
      </c>
      <c r="ARW6" s="2888" t="s">
        <v>3241</v>
      </c>
      <c r="ARX6" s="2888" t="s">
        <v>3241</v>
      </c>
      <c r="ARY6" s="2888" t="s">
        <v>3241</v>
      </c>
      <c r="ARZ6" s="2888" t="s">
        <v>3241</v>
      </c>
      <c r="ASA6" s="2888" t="s">
        <v>3241</v>
      </c>
      <c r="ASB6" s="2888" t="s">
        <v>3241</v>
      </c>
      <c r="ASC6" s="2888" t="s">
        <v>3241</v>
      </c>
      <c r="ASD6" s="2888" t="s">
        <v>3241</v>
      </c>
      <c r="ASE6" s="2888" t="s">
        <v>3241</v>
      </c>
      <c r="ASF6" s="2888" t="s">
        <v>3241</v>
      </c>
      <c r="ASG6" s="2888" t="s">
        <v>3241</v>
      </c>
      <c r="ASH6" s="2888" t="s">
        <v>3241</v>
      </c>
      <c r="ASI6" s="2888" t="s">
        <v>3241</v>
      </c>
      <c r="ASJ6" s="2888" t="s">
        <v>3241</v>
      </c>
      <c r="ASK6" s="2888" t="s">
        <v>3241</v>
      </c>
      <c r="ASL6" s="2888" t="s">
        <v>3241</v>
      </c>
      <c r="ASM6" s="2888" t="s">
        <v>3241</v>
      </c>
      <c r="ASN6" s="2888" t="s">
        <v>3241</v>
      </c>
      <c r="ASO6" s="2888" t="s">
        <v>3241</v>
      </c>
      <c r="ASP6" s="2888" t="s">
        <v>3241</v>
      </c>
      <c r="ASQ6" s="2888" t="s">
        <v>3241</v>
      </c>
      <c r="ASR6" s="2888" t="s">
        <v>3241</v>
      </c>
      <c r="ASS6" s="2888" t="s">
        <v>3241</v>
      </c>
      <c r="AST6" s="2888" t="s">
        <v>3241</v>
      </c>
      <c r="ASU6" s="2888" t="s">
        <v>3241</v>
      </c>
      <c r="ASV6" s="2888" t="s">
        <v>3241</v>
      </c>
      <c r="ASW6" s="2888" t="s">
        <v>3241</v>
      </c>
      <c r="ASX6" s="2888" t="s">
        <v>3241</v>
      </c>
      <c r="ASY6" s="2888" t="s">
        <v>3241</v>
      </c>
      <c r="ASZ6" s="2888" t="s">
        <v>3241</v>
      </c>
      <c r="ATA6" s="2888" t="s">
        <v>3241</v>
      </c>
      <c r="ATB6" s="2888" t="s">
        <v>3241</v>
      </c>
      <c r="ATC6" s="2888" t="s">
        <v>3241</v>
      </c>
      <c r="ATD6" s="2888" t="s">
        <v>3241</v>
      </c>
      <c r="ATE6" s="2888" t="s">
        <v>3241</v>
      </c>
      <c r="ATF6" s="2888" t="s">
        <v>3241</v>
      </c>
      <c r="ATG6" s="2888" t="s">
        <v>3241</v>
      </c>
      <c r="ATH6" s="2888" t="s">
        <v>3241</v>
      </c>
      <c r="ATI6" s="2888" t="s">
        <v>3241</v>
      </c>
      <c r="ATJ6" s="2888" t="s">
        <v>3241</v>
      </c>
      <c r="ATK6" s="2888" t="s">
        <v>3241</v>
      </c>
      <c r="ATL6" s="2888" t="s">
        <v>3241</v>
      </c>
      <c r="ATM6" s="2888" t="s">
        <v>3241</v>
      </c>
      <c r="ATN6" s="2888" t="s">
        <v>3241</v>
      </c>
      <c r="ATO6" s="2888" t="s">
        <v>3241</v>
      </c>
      <c r="ATP6" s="2888" t="s">
        <v>3241</v>
      </c>
      <c r="ATQ6" s="2888" t="s">
        <v>3241</v>
      </c>
      <c r="ATR6" s="2888" t="s">
        <v>3241</v>
      </c>
      <c r="ATS6" s="2888" t="s">
        <v>3241</v>
      </c>
      <c r="ATT6" s="2888" t="s">
        <v>3241</v>
      </c>
      <c r="ATU6" s="2888" t="s">
        <v>3241</v>
      </c>
      <c r="ATV6" s="2888" t="s">
        <v>3241</v>
      </c>
      <c r="ATW6" s="2888" t="s">
        <v>3241</v>
      </c>
      <c r="ATX6" s="2888" t="s">
        <v>3241</v>
      </c>
      <c r="ATY6" s="2888" t="s">
        <v>3241</v>
      </c>
      <c r="ATZ6" s="2888" t="s">
        <v>3241</v>
      </c>
      <c r="AUA6" s="2888" t="s">
        <v>3241</v>
      </c>
      <c r="AUB6" s="2888" t="s">
        <v>3241</v>
      </c>
      <c r="AUC6" s="2888" t="s">
        <v>3241</v>
      </c>
      <c r="AUD6" s="2888" t="s">
        <v>3241</v>
      </c>
      <c r="AUE6" s="2888" t="s">
        <v>3241</v>
      </c>
      <c r="AUF6" s="2888" t="s">
        <v>3241</v>
      </c>
      <c r="AUG6" s="2888" t="s">
        <v>3241</v>
      </c>
      <c r="AUH6" s="2888" t="s">
        <v>3241</v>
      </c>
      <c r="AUI6" s="2888" t="s">
        <v>3241</v>
      </c>
      <c r="AUJ6" s="2888" t="s">
        <v>3241</v>
      </c>
      <c r="AUK6" s="2888" t="s">
        <v>3241</v>
      </c>
      <c r="AUL6" s="2888" t="s">
        <v>3241</v>
      </c>
      <c r="AUM6" s="2888" t="s">
        <v>3241</v>
      </c>
      <c r="AUN6" s="2888" t="s">
        <v>3241</v>
      </c>
      <c r="AUO6" s="2888" t="s">
        <v>3241</v>
      </c>
      <c r="AUP6" s="2888" t="s">
        <v>3241</v>
      </c>
      <c r="AUQ6" s="2888" t="s">
        <v>3241</v>
      </c>
      <c r="AUR6" s="2888" t="s">
        <v>3241</v>
      </c>
      <c r="AUS6" s="2888" t="s">
        <v>3241</v>
      </c>
      <c r="AUT6" s="2888" t="s">
        <v>3241</v>
      </c>
      <c r="AUU6" s="2888" t="s">
        <v>3241</v>
      </c>
      <c r="AUV6" s="2888" t="s">
        <v>3241</v>
      </c>
      <c r="AUW6" s="2888" t="s">
        <v>3241</v>
      </c>
      <c r="AUX6" s="2888" t="s">
        <v>3241</v>
      </c>
      <c r="AUY6" s="2888" t="s">
        <v>3241</v>
      </c>
      <c r="AUZ6" s="2888" t="s">
        <v>3241</v>
      </c>
      <c r="AVA6" s="2888" t="s">
        <v>3241</v>
      </c>
      <c r="AVB6" s="2888" t="s">
        <v>3241</v>
      </c>
      <c r="AVC6" s="2888" t="s">
        <v>3241</v>
      </c>
      <c r="AVD6" s="2888" t="s">
        <v>3241</v>
      </c>
      <c r="AVE6" s="2888" t="s">
        <v>3241</v>
      </c>
      <c r="AVF6" s="2888" t="s">
        <v>3241</v>
      </c>
      <c r="AVG6" s="2888" t="s">
        <v>3241</v>
      </c>
      <c r="AVH6" s="2888" t="s">
        <v>3241</v>
      </c>
      <c r="AVI6" s="2888" t="s">
        <v>3241</v>
      </c>
      <c r="AVJ6" s="2888" t="s">
        <v>3241</v>
      </c>
      <c r="AVK6" s="2888" t="s">
        <v>3241</v>
      </c>
      <c r="AVL6" s="2888" t="s">
        <v>3241</v>
      </c>
      <c r="AVM6" s="2888" t="s">
        <v>3241</v>
      </c>
      <c r="AVN6" s="2888" t="s">
        <v>3241</v>
      </c>
      <c r="AVO6" s="2888" t="s">
        <v>3241</v>
      </c>
      <c r="AVP6" s="2888" t="s">
        <v>3241</v>
      </c>
      <c r="AVQ6" s="2888" t="s">
        <v>3241</v>
      </c>
      <c r="AVR6" s="2888" t="s">
        <v>3241</v>
      </c>
      <c r="AVS6" s="2888" t="s">
        <v>3241</v>
      </c>
      <c r="AVT6" s="2888" t="s">
        <v>3241</v>
      </c>
      <c r="AVU6" s="2888" t="s">
        <v>3241</v>
      </c>
      <c r="AVV6" s="2888" t="s">
        <v>3241</v>
      </c>
      <c r="AVW6" s="2888" t="s">
        <v>3241</v>
      </c>
      <c r="AVX6" s="2888" t="s">
        <v>3241</v>
      </c>
      <c r="AVY6" s="2888" t="s">
        <v>3241</v>
      </c>
      <c r="AVZ6" s="2888" t="s">
        <v>3241</v>
      </c>
      <c r="AWA6" s="2888" t="s">
        <v>3241</v>
      </c>
      <c r="AWB6" s="2888" t="s">
        <v>3241</v>
      </c>
      <c r="AWC6" s="2888" t="s">
        <v>3241</v>
      </c>
      <c r="AWD6" s="2888" t="s">
        <v>3241</v>
      </c>
      <c r="AWE6" s="2888" t="s">
        <v>3241</v>
      </c>
      <c r="AWF6" s="2888" t="s">
        <v>3241</v>
      </c>
      <c r="AWG6" s="2888" t="s">
        <v>3241</v>
      </c>
      <c r="AWH6" s="2888" t="s">
        <v>3241</v>
      </c>
      <c r="AWI6" s="2888" t="s">
        <v>3241</v>
      </c>
      <c r="AWJ6" s="2888" t="s">
        <v>3241</v>
      </c>
      <c r="AWK6" s="2888" t="s">
        <v>3241</v>
      </c>
      <c r="AWL6" s="2888" t="s">
        <v>3241</v>
      </c>
      <c r="AWM6" s="2888" t="s">
        <v>3241</v>
      </c>
      <c r="AWN6" s="2888" t="s">
        <v>3241</v>
      </c>
      <c r="AWO6" s="2888" t="s">
        <v>3241</v>
      </c>
      <c r="AWP6" s="2888" t="s">
        <v>3241</v>
      </c>
      <c r="AWQ6" s="2888" t="s">
        <v>3241</v>
      </c>
      <c r="AWR6" s="2888" t="s">
        <v>3241</v>
      </c>
      <c r="AWS6" s="2888" t="s">
        <v>3241</v>
      </c>
      <c r="AWT6" s="2888" t="s">
        <v>3241</v>
      </c>
      <c r="AWU6" s="2888" t="s">
        <v>3241</v>
      </c>
      <c r="AWV6" s="2888" t="s">
        <v>3241</v>
      </c>
      <c r="AWW6" s="2888" t="s">
        <v>3241</v>
      </c>
      <c r="AWX6" s="2888" t="s">
        <v>3241</v>
      </c>
      <c r="AWY6" s="2888" t="s">
        <v>3241</v>
      </c>
      <c r="AWZ6" s="2888" t="s">
        <v>3241</v>
      </c>
      <c r="AXA6" s="2888" t="s">
        <v>3241</v>
      </c>
      <c r="AXB6" s="2888" t="s">
        <v>3241</v>
      </c>
      <c r="AXC6" s="2888" t="s">
        <v>3241</v>
      </c>
      <c r="AXD6" s="2888" t="s">
        <v>3241</v>
      </c>
      <c r="AXE6" s="2888" t="s">
        <v>3241</v>
      </c>
      <c r="AXF6" s="2888" t="s">
        <v>3241</v>
      </c>
      <c r="AXG6" s="2888" t="s">
        <v>3241</v>
      </c>
      <c r="AXH6" s="2888" t="s">
        <v>3241</v>
      </c>
      <c r="AXI6" s="2888" t="s">
        <v>3241</v>
      </c>
      <c r="AXJ6" s="2888" t="s">
        <v>3241</v>
      </c>
      <c r="AXK6" s="2888" t="s">
        <v>3241</v>
      </c>
      <c r="AXL6" s="2888" t="s">
        <v>3241</v>
      </c>
      <c r="AXM6" s="2888" t="s">
        <v>3241</v>
      </c>
      <c r="AXN6" s="2888" t="s">
        <v>3241</v>
      </c>
      <c r="AXO6" s="2888" t="s">
        <v>3241</v>
      </c>
      <c r="AXP6" s="2888" t="s">
        <v>3241</v>
      </c>
      <c r="AXQ6" s="2888" t="s">
        <v>3241</v>
      </c>
      <c r="AXR6" s="2888" t="s">
        <v>3241</v>
      </c>
      <c r="AXS6" s="2888" t="s">
        <v>3241</v>
      </c>
      <c r="AXT6" s="2888" t="s">
        <v>3241</v>
      </c>
      <c r="AXU6" s="2888" t="s">
        <v>3241</v>
      </c>
      <c r="AXV6" s="2888" t="s">
        <v>3241</v>
      </c>
      <c r="AXW6" s="2888" t="s">
        <v>3241</v>
      </c>
      <c r="AXX6" s="2888" t="s">
        <v>3241</v>
      </c>
      <c r="AXY6" s="2888" t="s">
        <v>3241</v>
      </c>
      <c r="AXZ6" s="2888" t="s">
        <v>3241</v>
      </c>
      <c r="AYA6" s="2888" t="s">
        <v>3241</v>
      </c>
      <c r="AYB6" s="2888" t="s">
        <v>3241</v>
      </c>
      <c r="AYC6" s="2888" t="s">
        <v>3241</v>
      </c>
      <c r="AYD6" s="2888" t="s">
        <v>3241</v>
      </c>
      <c r="AYE6" s="2888" t="s">
        <v>3241</v>
      </c>
      <c r="AYF6" s="2888" t="s">
        <v>3241</v>
      </c>
      <c r="AYG6" s="2888" t="s">
        <v>3241</v>
      </c>
      <c r="AYH6" s="2888" t="s">
        <v>3241</v>
      </c>
      <c r="AYI6" s="2888" t="s">
        <v>3241</v>
      </c>
      <c r="AYJ6" s="2888" t="s">
        <v>3241</v>
      </c>
      <c r="AYK6" s="2888" t="s">
        <v>3241</v>
      </c>
      <c r="AYL6" s="2888" t="s">
        <v>3241</v>
      </c>
      <c r="AYM6" s="2888" t="s">
        <v>3241</v>
      </c>
      <c r="AYN6" s="2888" t="s">
        <v>3241</v>
      </c>
      <c r="AYO6" s="2888" t="s">
        <v>3241</v>
      </c>
      <c r="AYP6" s="2888" t="s">
        <v>3241</v>
      </c>
      <c r="AYQ6" s="2888" t="s">
        <v>3241</v>
      </c>
      <c r="AYR6" s="2888" t="s">
        <v>3241</v>
      </c>
      <c r="AYS6" s="2888" t="s">
        <v>3241</v>
      </c>
      <c r="AYT6" s="2888" t="s">
        <v>3241</v>
      </c>
      <c r="AYU6" s="2888" t="s">
        <v>3241</v>
      </c>
      <c r="AYV6" s="2888" t="s">
        <v>3241</v>
      </c>
      <c r="AYW6" s="2888" t="s">
        <v>3241</v>
      </c>
      <c r="AYX6" s="2888" t="s">
        <v>3241</v>
      </c>
      <c r="AYY6" s="2888" t="s">
        <v>3241</v>
      </c>
      <c r="AYZ6" s="2888" t="s">
        <v>3241</v>
      </c>
      <c r="AZA6" s="2888" t="s">
        <v>3241</v>
      </c>
      <c r="AZB6" s="2888" t="s">
        <v>3241</v>
      </c>
      <c r="AZC6" s="2888" t="s">
        <v>3241</v>
      </c>
      <c r="AZD6" s="2888" t="s">
        <v>3241</v>
      </c>
      <c r="AZE6" s="2888" t="s">
        <v>3241</v>
      </c>
      <c r="AZF6" s="2888" t="s">
        <v>3241</v>
      </c>
      <c r="AZG6" s="2888" t="s">
        <v>3241</v>
      </c>
      <c r="AZH6" s="2888" t="s">
        <v>3241</v>
      </c>
      <c r="AZI6" s="2888" t="s">
        <v>3241</v>
      </c>
      <c r="AZJ6" s="2888" t="s">
        <v>3241</v>
      </c>
      <c r="AZK6" s="2888" t="s">
        <v>3241</v>
      </c>
      <c r="AZL6" s="2888" t="s">
        <v>3241</v>
      </c>
      <c r="AZM6" s="2888" t="s">
        <v>3241</v>
      </c>
      <c r="AZN6" s="2888" t="s">
        <v>3241</v>
      </c>
      <c r="AZO6" s="2888" t="s">
        <v>3241</v>
      </c>
      <c r="AZP6" s="2888" t="s">
        <v>3241</v>
      </c>
      <c r="AZQ6" s="2888" t="s">
        <v>3241</v>
      </c>
      <c r="AZR6" s="2888" t="s">
        <v>3241</v>
      </c>
      <c r="AZS6" s="2888" t="s">
        <v>3241</v>
      </c>
      <c r="AZT6" s="2888" t="s">
        <v>3241</v>
      </c>
      <c r="AZU6" s="2888" t="s">
        <v>3241</v>
      </c>
      <c r="AZV6" s="2888" t="s">
        <v>3241</v>
      </c>
      <c r="AZW6" s="2888" t="s">
        <v>3241</v>
      </c>
      <c r="AZX6" s="2888" t="s">
        <v>3241</v>
      </c>
      <c r="AZY6" s="2888" t="s">
        <v>3241</v>
      </c>
      <c r="AZZ6" s="2888" t="s">
        <v>3241</v>
      </c>
      <c r="BAA6" s="2888" t="s">
        <v>3241</v>
      </c>
      <c r="BAB6" s="2888" t="s">
        <v>3241</v>
      </c>
      <c r="BAC6" s="2888" t="s">
        <v>3241</v>
      </c>
      <c r="BAD6" s="2888" t="s">
        <v>3241</v>
      </c>
      <c r="BAE6" s="2888" t="s">
        <v>3241</v>
      </c>
      <c r="BAF6" s="2888" t="s">
        <v>3241</v>
      </c>
      <c r="BAG6" s="2888" t="s">
        <v>3241</v>
      </c>
      <c r="BAH6" s="2888" t="s">
        <v>3241</v>
      </c>
      <c r="BAI6" s="2888" t="s">
        <v>3241</v>
      </c>
      <c r="BAJ6" s="2888" t="s">
        <v>3241</v>
      </c>
      <c r="BAK6" s="2888" t="s">
        <v>3241</v>
      </c>
      <c r="BAL6" s="2888" t="s">
        <v>3241</v>
      </c>
      <c r="BAM6" s="2888" t="s">
        <v>3241</v>
      </c>
      <c r="BAN6" s="2888" t="s">
        <v>3241</v>
      </c>
      <c r="BAO6" s="2888" t="s">
        <v>3241</v>
      </c>
      <c r="BAP6" s="2888" t="s">
        <v>3241</v>
      </c>
      <c r="BAQ6" s="2888" t="s">
        <v>3241</v>
      </c>
      <c r="BAR6" s="2888" t="s">
        <v>3241</v>
      </c>
      <c r="BAS6" s="2888" t="s">
        <v>3241</v>
      </c>
      <c r="BAT6" s="2888" t="s">
        <v>3241</v>
      </c>
      <c r="BAU6" s="2888" t="s">
        <v>3241</v>
      </c>
      <c r="BAV6" s="2888" t="s">
        <v>3241</v>
      </c>
      <c r="BAW6" s="2888" t="s">
        <v>3241</v>
      </c>
      <c r="BAX6" s="2888" t="s">
        <v>3241</v>
      </c>
      <c r="BAY6" s="2888" t="s">
        <v>3241</v>
      </c>
      <c r="BAZ6" s="2888" t="s">
        <v>3241</v>
      </c>
      <c r="BBA6" s="2888" t="s">
        <v>3241</v>
      </c>
      <c r="BBB6" s="2888" t="s">
        <v>3241</v>
      </c>
      <c r="BBC6" s="2888" t="s">
        <v>3241</v>
      </c>
      <c r="BBD6" s="2888" t="s">
        <v>3241</v>
      </c>
      <c r="BBE6" s="2888" t="s">
        <v>3241</v>
      </c>
      <c r="BBF6" s="2888" t="s">
        <v>3241</v>
      </c>
      <c r="BBG6" s="2888" t="s">
        <v>3241</v>
      </c>
      <c r="BBH6" s="2888" t="s">
        <v>3241</v>
      </c>
      <c r="BBI6" s="2888" t="s">
        <v>3241</v>
      </c>
      <c r="BBJ6" s="2888" t="s">
        <v>3241</v>
      </c>
      <c r="BBK6" s="2888" t="s">
        <v>3241</v>
      </c>
      <c r="BBL6" s="2888" t="s">
        <v>3241</v>
      </c>
      <c r="BBM6" s="2888" t="s">
        <v>3241</v>
      </c>
      <c r="BBN6" s="2888" t="s">
        <v>3241</v>
      </c>
      <c r="BBO6" s="2888" t="s">
        <v>3241</v>
      </c>
      <c r="BBP6" s="2888" t="s">
        <v>3241</v>
      </c>
      <c r="BBQ6" s="2888" t="s">
        <v>3241</v>
      </c>
      <c r="BBR6" s="2888" t="s">
        <v>3241</v>
      </c>
      <c r="BBS6" s="2888" t="s">
        <v>3241</v>
      </c>
      <c r="BBT6" s="2888" t="s">
        <v>3241</v>
      </c>
      <c r="BBU6" s="2888" t="s">
        <v>3241</v>
      </c>
      <c r="BBV6" s="2888" t="s">
        <v>3241</v>
      </c>
      <c r="BBW6" s="2888" t="s">
        <v>3241</v>
      </c>
      <c r="BBX6" s="2888" t="s">
        <v>3241</v>
      </c>
      <c r="BBY6" s="2888" t="s">
        <v>3241</v>
      </c>
      <c r="BBZ6" s="2888" t="s">
        <v>3241</v>
      </c>
      <c r="BCA6" s="2888" t="s">
        <v>3241</v>
      </c>
      <c r="BCB6" s="2888" t="s">
        <v>3241</v>
      </c>
      <c r="BCC6" s="2888" t="s">
        <v>3241</v>
      </c>
      <c r="BCD6" s="2888" t="s">
        <v>3241</v>
      </c>
      <c r="BCE6" s="2888" t="s">
        <v>3241</v>
      </c>
      <c r="BCF6" s="2888" t="s">
        <v>3241</v>
      </c>
      <c r="BCG6" s="2888" t="s">
        <v>3241</v>
      </c>
      <c r="BCH6" s="2888" t="s">
        <v>3241</v>
      </c>
      <c r="BCI6" s="2888" t="s">
        <v>3241</v>
      </c>
      <c r="BCJ6" s="2888" t="s">
        <v>3241</v>
      </c>
      <c r="BCK6" s="2888" t="s">
        <v>3241</v>
      </c>
      <c r="BCL6" s="2888" t="s">
        <v>3241</v>
      </c>
      <c r="BCM6" s="2888" t="s">
        <v>3241</v>
      </c>
      <c r="BCN6" s="2888" t="s">
        <v>3241</v>
      </c>
      <c r="BCO6" s="2888" t="s">
        <v>3241</v>
      </c>
      <c r="BCP6" s="2888" t="s">
        <v>3241</v>
      </c>
      <c r="BCQ6" s="2888" t="s">
        <v>3241</v>
      </c>
      <c r="BCR6" s="2888" t="s">
        <v>3241</v>
      </c>
      <c r="BCS6" s="2888" t="s">
        <v>3241</v>
      </c>
      <c r="BCT6" s="2888" t="s">
        <v>3241</v>
      </c>
      <c r="BCU6" s="2888" t="s">
        <v>3241</v>
      </c>
      <c r="BCV6" s="2888" t="s">
        <v>3241</v>
      </c>
      <c r="BCW6" s="2888" t="s">
        <v>3241</v>
      </c>
      <c r="BCX6" s="2888" t="s">
        <v>3241</v>
      </c>
      <c r="BCY6" s="2888" t="s">
        <v>3241</v>
      </c>
      <c r="BCZ6" s="2888" t="s">
        <v>3241</v>
      </c>
      <c r="BDA6" s="2888" t="s">
        <v>3241</v>
      </c>
      <c r="BDB6" s="2888" t="s">
        <v>3241</v>
      </c>
      <c r="BDC6" s="2888" t="s">
        <v>3241</v>
      </c>
      <c r="BDD6" s="2888" t="s">
        <v>3241</v>
      </c>
      <c r="BDE6" s="2888" t="s">
        <v>3241</v>
      </c>
      <c r="BDF6" s="2888" t="s">
        <v>3241</v>
      </c>
      <c r="BDG6" s="2888" t="s">
        <v>3241</v>
      </c>
      <c r="BDH6" s="2888" t="s">
        <v>3241</v>
      </c>
      <c r="BDI6" s="2888" t="s">
        <v>3241</v>
      </c>
      <c r="BDJ6" s="2888" t="s">
        <v>3241</v>
      </c>
      <c r="BDK6" s="2888" t="s">
        <v>3241</v>
      </c>
      <c r="BDL6" s="2888" t="s">
        <v>3241</v>
      </c>
      <c r="BDM6" s="2888" t="s">
        <v>3241</v>
      </c>
      <c r="BDN6" s="2888" t="s">
        <v>3241</v>
      </c>
      <c r="BDO6" s="2888" t="s">
        <v>3241</v>
      </c>
      <c r="BDP6" s="2888" t="s">
        <v>3241</v>
      </c>
      <c r="BDQ6" s="2888" t="s">
        <v>3241</v>
      </c>
      <c r="BDR6" s="2888" t="s">
        <v>3241</v>
      </c>
      <c r="BDS6" s="2888" t="s">
        <v>3241</v>
      </c>
      <c r="BDT6" s="2888" t="s">
        <v>3241</v>
      </c>
      <c r="BDU6" s="2888" t="s">
        <v>3241</v>
      </c>
      <c r="BDV6" s="2888" t="s">
        <v>3241</v>
      </c>
      <c r="BDW6" s="2888" t="s">
        <v>3241</v>
      </c>
      <c r="BDX6" s="2888" t="s">
        <v>3241</v>
      </c>
      <c r="BDY6" s="2888" t="s">
        <v>3241</v>
      </c>
      <c r="BDZ6" s="2888" t="s">
        <v>3241</v>
      </c>
      <c r="BEA6" s="2888" t="s">
        <v>3241</v>
      </c>
      <c r="BEB6" s="2888" t="s">
        <v>3241</v>
      </c>
      <c r="BEC6" s="2888" t="s">
        <v>3241</v>
      </c>
      <c r="BED6" s="2888" t="s">
        <v>3241</v>
      </c>
      <c r="BEE6" s="2888" t="s">
        <v>3241</v>
      </c>
      <c r="BEF6" s="2888" t="s">
        <v>3241</v>
      </c>
      <c r="BEG6" s="2888" t="s">
        <v>3241</v>
      </c>
      <c r="BEH6" s="2888" t="s">
        <v>3241</v>
      </c>
      <c r="BEI6" s="2888" t="s">
        <v>3241</v>
      </c>
      <c r="BEJ6" s="2888" t="s">
        <v>3241</v>
      </c>
      <c r="BEK6" s="2888" t="s">
        <v>3241</v>
      </c>
      <c r="BEL6" s="2888" t="s">
        <v>3241</v>
      </c>
      <c r="BEM6" s="2888" t="s">
        <v>3241</v>
      </c>
      <c r="BEN6" s="2888" t="s">
        <v>3241</v>
      </c>
      <c r="BEO6" s="2888" t="s">
        <v>3241</v>
      </c>
      <c r="BEP6" s="2888" t="s">
        <v>3241</v>
      </c>
      <c r="BEQ6" s="2888" t="s">
        <v>3241</v>
      </c>
      <c r="BER6" s="2888" t="s">
        <v>3241</v>
      </c>
      <c r="BES6" s="2888" t="s">
        <v>3241</v>
      </c>
      <c r="BET6" s="2888" t="s">
        <v>3241</v>
      </c>
      <c r="BEU6" s="2888" t="s">
        <v>3241</v>
      </c>
      <c r="BEV6" s="2888" t="s">
        <v>3241</v>
      </c>
      <c r="BEW6" s="2888" t="s">
        <v>3241</v>
      </c>
      <c r="BEX6" s="2888" t="s">
        <v>3241</v>
      </c>
      <c r="BEY6" s="2888" t="s">
        <v>3241</v>
      </c>
      <c r="BEZ6" s="2888" t="s">
        <v>3241</v>
      </c>
      <c r="BFA6" s="2888" t="s">
        <v>3241</v>
      </c>
      <c r="BFB6" s="2888" t="s">
        <v>3241</v>
      </c>
      <c r="BFC6" s="2888" t="s">
        <v>3241</v>
      </c>
      <c r="BFD6" s="2888" t="s">
        <v>3241</v>
      </c>
      <c r="BFE6" s="2888" t="s">
        <v>3241</v>
      </c>
      <c r="BFF6" s="2888" t="s">
        <v>3241</v>
      </c>
      <c r="BFG6" s="2888" t="s">
        <v>3241</v>
      </c>
      <c r="BFH6" s="2888" t="s">
        <v>3241</v>
      </c>
      <c r="BFI6" s="2888" t="s">
        <v>3241</v>
      </c>
      <c r="BFJ6" s="2888" t="s">
        <v>3241</v>
      </c>
      <c r="BFK6" s="2888" t="s">
        <v>3241</v>
      </c>
      <c r="BFL6" s="2888" t="s">
        <v>3241</v>
      </c>
      <c r="BFM6" s="2888" t="s">
        <v>3241</v>
      </c>
      <c r="BFN6" s="2888" t="s">
        <v>3241</v>
      </c>
      <c r="BFO6" s="2888" t="s">
        <v>3241</v>
      </c>
      <c r="BFP6" s="2888" t="s">
        <v>3241</v>
      </c>
      <c r="BFQ6" s="2888" t="s">
        <v>3241</v>
      </c>
      <c r="BFR6" s="2888" t="s">
        <v>3241</v>
      </c>
      <c r="BFS6" s="2888" t="s">
        <v>3241</v>
      </c>
      <c r="BFT6" s="2888" t="s">
        <v>3241</v>
      </c>
      <c r="BFU6" s="2888" t="s">
        <v>3241</v>
      </c>
      <c r="BFV6" s="2888" t="s">
        <v>3241</v>
      </c>
      <c r="BFW6" s="2888" t="s">
        <v>3241</v>
      </c>
      <c r="BFX6" s="2888" t="s">
        <v>3241</v>
      </c>
      <c r="BFY6" s="2888" t="s">
        <v>3241</v>
      </c>
      <c r="BFZ6" s="2888" t="s">
        <v>3241</v>
      </c>
      <c r="BGA6" s="2888" t="s">
        <v>3241</v>
      </c>
      <c r="BGB6" s="2888" t="s">
        <v>3241</v>
      </c>
      <c r="BGC6" s="2888" t="s">
        <v>3241</v>
      </c>
      <c r="BGD6" s="2888" t="s">
        <v>3241</v>
      </c>
      <c r="BGE6" s="2888" t="s">
        <v>3241</v>
      </c>
      <c r="BGF6" s="2888" t="s">
        <v>3241</v>
      </c>
      <c r="BGG6" s="2888" t="s">
        <v>3241</v>
      </c>
      <c r="BGH6" s="2888" t="s">
        <v>3241</v>
      </c>
      <c r="BGI6" s="2888" t="s">
        <v>3241</v>
      </c>
      <c r="BGJ6" s="2888" t="s">
        <v>3241</v>
      </c>
      <c r="BGK6" s="2888" t="s">
        <v>3241</v>
      </c>
      <c r="BGL6" s="2888" t="s">
        <v>3241</v>
      </c>
      <c r="BGM6" s="2888" t="s">
        <v>3241</v>
      </c>
      <c r="BGN6" s="2888" t="s">
        <v>3241</v>
      </c>
      <c r="BGO6" s="2888" t="s">
        <v>3241</v>
      </c>
      <c r="BGP6" s="2888" t="s">
        <v>3241</v>
      </c>
      <c r="BGQ6" s="2888" t="s">
        <v>3241</v>
      </c>
      <c r="BGR6" s="2888" t="s">
        <v>3241</v>
      </c>
      <c r="BGS6" s="2888" t="s">
        <v>3241</v>
      </c>
      <c r="BGT6" s="2888" t="s">
        <v>3241</v>
      </c>
      <c r="BGU6" s="2888" t="s">
        <v>3241</v>
      </c>
      <c r="BGV6" s="2888" t="s">
        <v>3241</v>
      </c>
      <c r="BGW6" s="2888" t="s">
        <v>3241</v>
      </c>
      <c r="BGX6" s="2888" t="s">
        <v>3241</v>
      </c>
      <c r="BGY6" s="2888" t="s">
        <v>3241</v>
      </c>
      <c r="BGZ6" s="2888" t="s">
        <v>3241</v>
      </c>
      <c r="BHA6" s="2888" t="s">
        <v>3241</v>
      </c>
      <c r="BHB6" s="2888" t="s">
        <v>3241</v>
      </c>
      <c r="BHC6" s="2888" t="s">
        <v>3241</v>
      </c>
      <c r="BHD6" s="2888" t="s">
        <v>3241</v>
      </c>
      <c r="BHE6" s="2888" t="s">
        <v>3241</v>
      </c>
      <c r="BHF6" s="2888" t="s">
        <v>3241</v>
      </c>
      <c r="BHG6" s="2888" t="s">
        <v>3241</v>
      </c>
      <c r="BHH6" s="2888" t="s">
        <v>3241</v>
      </c>
      <c r="BHI6" s="2888" t="s">
        <v>3241</v>
      </c>
      <c r="BHJ6" s="2888" t="s">
        <v>3241</v>
      </c>
      <c r="BHK6" s="2888" t="s">
        <v>3241</v>
      </c>
      <c r="BHL6" s="2888" t="s">
        <v>3241</v>
      </c>
      <c r="BHM6" s="2888" t="s">
        <v>3241</v>
      </c>
      <c r="BHN6" s="2888" t="s">
        <v>3241</v>
      </c>
      <c r="BHO6" s="2888" t="s">
        <v>3241</v>
      </c>
      <c r="BHP6" s="2888" t="s">
        <v>3241</v>
      </c>
      <c r="BHQ6" s="2888" t="s">
        <v>3241</v>
      </c>
      <c r="BHR6" s="2888" t="s">
        <v>3241</v>
      </c>
      <c r="BHS6" s="2888" t="s">
        <v>3241</v>
      </c>
      <c r="BHT6" s="2888" t="s">
        <v>3241</v>
      </c>
      <c r="BHU6" s="2888" t="s">
        <v>3241</v>
      </c>
      <c r="BHV6" s="2888" t="s">
        <v>3241</v>
      </c>
      <c r="BHW6" s="2888" t="s">
        <v>3241</v>
      </c>
      <c r="BHX6" s="2888" t="s">
        <v>3241</v>
      </c>
      <c r="BHY6" s="2888" t="s">
        <v>3241</v>
      </c>
      <c r="BHZ6" s="2888" t="s">
        <v>3241</v>
      </c>
      <c r="BIA6" s="2888" t="s">
        <v>3241</v>
      </c>
      <c r="BIB6" s="2888" t="s">
        <v>3241</v>
      </c>
      <c r="BIC6" s="2888" t="s">
        <v>3241</v>
      </c>
      <c r="BID6" s="2888" t="s">
        <v>3241</v>
      </c>
      <c r="BIE6" s="2888" t="s">
        <v>3241</v>
      </c>
      <c r="BIF6" s="2888" t="s">
        <v>3241</v>
      </c>
      <c r="BIG6" s="2888" t="s">
        <v>3241</v>
      </c>
      <c r="BIH6" s="2888" t="s">
        <v>3241</v>
      </c>
      <c r="BII6" s="2888" t="s">
        <v>3241</v>
      </c>
      <c r="BIJ6" s="2888" t="s">
        <v>3241</v>
      </c>
      <c r="BIK6" s="2888" t="s">
        <v>3241</v>
      </c>
      <c r="BIL6" s="2888" t="s">
        <v>3241</v>
      </c>
      <c r="BIM6" s="2888" t="s">
        <v>3241</v>
      </c>
      <c r="BIN6" s="2888" t="s">
        <v>3241</v>
      </c>
      <c r="BIO6" s="2888" t="s">
        <v>3241</v>
      </c>
      <c r="BIP6" s="2888" t="s">
        <v>3241</v>
      </c>
      <c r="BIQ6" s="2888" t="s">
        <v>3241</v>
      </c>
      <c r="BIR6" s="2888" t="s">
        <v>3241</v>
      </c>
      <c r="BIS6" s="2888" t="s">
        <v>3241</v>
      </c>
      <c r="BIT6" s="2888" t="s">
        <v>3241</v>
      </c>
      <c r="BIU6" s="2888" t="s">
        <v>3241</v>
      </c>
      <c r="BIV6" s="2888" t="s">
        <v>3241</v>
      </c>
      <c r="BIW6" s="2888" t="s">
        <v>3241</v>
      </c>
      <c r="BIX6" s="2888" t="s">
        <v>3241</v>
      </c>
      <c r="BIY6" s="2888" t="s">
        <v>3241</v>
      </c>
      <c r="BIZ6" s="2888" t="s">
        <v>3241</v>
      </c>
      <c r="BJA6" s="2888" t="s">
        <v>3241</v>
      </c>
      <c r="BJB6" s="2888" t="s">
        <v>3241</v>
      </c>
      <c r="BJC6" s="2888" t="s">
        <v>3241</v>
      </c>
      <c r="BJD6" s="2888" t="s">
        <v>3241</v>
      </c>
      <c r="BJE6" s="2888" t="s">
        <v>3241</v>
      </c>
      <c r="BJF6" s="2888" t="s">
        <v>3241</v>
      </c>
      <c r="BJG6" s="2888" t="s">
        <v>3241</v>
      </c>
      <c r="BJH6" s="2888" t="s">
        <v>3241</v>
      </c>
      <c r="BJI6" s="2888" t="s">
        <v>3241</v>
      </c>
      <c r="BJJ6" s="2888" t="s">
        <v>3241</v>
      </c>
      <c r="BJK6" s="2888" t="s">
        <v>3241</v>
      </c>
      <c r="BJL6" s="2888" t="s">
        <v>3241</v>
      </c>
      <c r="BJM6" s="2888" t="s">
        <v>3241</v>
      </c>
      <c r="BJN6" s="2888" t="s">
        <v>3241</v>
      </c>
      <c r="BJO6" s="2888" t="s">
        <v>3241</v>
      </c>
      <c r="BJP6" s="2888" t="s">
        <v>3241</v>
      </c>
      <c r="BJQ6" s="2888" t="s">
        <v>3241</v>
      </c>
      <c r="BJR6" s="2888" t="s">
        <v>3241</v>
      </c>
      <c r="BJS6" s="2888" t="s">
        <v>3241</v>
      </c>
      <c r="BJT6" s="2888" t="s">
        <v>3241</v>
      </c>
      <c r="BJU6" s="2888" t="s">
        <v>3241</v>
      </c>
      <c r="BJV6" s="2888" t="s">
        <v>3241</v>
      </c>
      <c r="BJW6" s="2888" t="s">
        <v>3241</v>
      </c>
      <c r="BJX6" s="2888" t="s">
        <v>3241</v>
      </c>
      <c r="BJY6" s="2888" t="s">
        <v>3241</v>
      </c>
      <c r="BJZ6" s="2888" t="s">
        <v>3241</v>
      </c>
      <c r="BKA6" s="2888" t="s">
        <v>3241</v>
      </c>
      <c r="BKB6" s="2888" t="s">
        <v>3241</v>
      </c>
      <c r="BKC6" s="2888" t="s">
        <v>3241</v>
      </c>
      <c r="BKD6" s="2888" t="s">
        <v>3241</v>
      </c>
      <c r="BKE6" s="2888" t="s">
        <v>3241</v>
      </c>
      <c r="BKF6" s="2888" t="s">
        <v>3241</v>
      </c>
      <c r="BKG6" s="2888" t="s">
        <v>3241</v>
      </c>
      <c r="BKH6" s="2888" t="s">
        <v>3241</v>
      </c>
      <c r="BKI6" s="2888" t="s">
        <v>3241</v>
      </c>
      <c r="BKJ6" s="2888" t="s">
        <v>3241</v>
      </c>
      <c r="BKK6" s="2888" t="s">
        <v>3241</v>
      </c>
      <c r="BKL6" s="2888" t="s">
        <v>3241</v>
      </c>
      <c r="BKM6" s="2888" t="s">
        <v>3241</v>
      </c>
      <c r="BKN6" s="2888" t="s">
        <v>3241</v>
      </c>
      <c r="BKO6" s="2888" t="s">
        <v>3241</v>
      </c>
      <c r="BKP6" s="2888" t="s">
        <v>3241</v>
      </c>
      <c r="BKQ6" s="2888" t="s">
        <v>3241</v>
      </c>
      <c r="BKR6" s="2888" t="s">
        <v>3241</v>
      </c>
      <c r="BKS6" s="2888" t="s">
        <v>3241</v>
      </c>
      <c r="BKT6" s="2888" t="s">
        <v>3241</v>
      </c>
      <c r="BKU6" s="2888" t="s">
        <v>3241</v>
      </c>
      <c r="BKV6" s="2888" t="s">
        <v>3241</v>
      </c>
      <c r="BKW6" s="2888" t="s">
        <v>3241</v>
      </c>
      <c r="BKX6" s="2888" t="s">
        <v>3241</v>
      </c>
      <c r="BKY6" s="2888" t="s">
        <v>3241</v>
      </c>
      <c r="BKZ6" s="2888" t="s">
        <v>3241</v>
      </c>
      <c r="BLA6" s="2888" t="s">
        <v>3241</v>
      </c>
      <c r="BLB6" s="2888" t="s">
        <v>3241</v>
      </c>
      <c r="BLC6" s="2888" t="s">
        <v>3241</v>
      </c>
      <c r="BLD6" s="2888" t="s">
        <v>3241</v>
      </c>
      <c r="BLE6" s="2888" t="s">
        <v>3241</v>
      </c>
      <c r="BLF6" s="2888" t="s">
        <v>3241</v>
      </c>
      <c r="BLG6" s="2888" t="s">
        <v>3241</v>
      </c>
      <c r="BLH6" s="2888" t="s">
        <v>3241</v>
      </c>
      <c r="BLI6" s="2888" t="s">
        <v>3241</v>
      </c>
      <c r="BLJ6" s="2888" t="s">
        <v>3241</v>
      </c>
      <c r="BLK6" s="2888" t="s">
        <v>3241</v>
      </c>
      <c r="BLL6" s="2888" t="s">
        <v>3241</v>
      </c>
      <c r="BLM6" s="2888" t="s">
        <v>3241</v>
      </c>
      <c r="BLN6" s="2888" t="s">
        <v>3241</v>
      </c>
      <c r="BLO6" s="2888" t="s">
        <v>3241</v>
      </c>
      <c r="BLP6" s="2888" t="s">
        <v>3241</v>
      </c>
      <c r="BLQ6" s="2888" t="s">
        <v>3241</v>
      </c>
      <c r="BLR6" s="2888" t="s">
        <v>3241</v>
      </c>
      <c r="BLS6" s="2888" t="s">
        <v>3241</v>
      </c>
      <c r="BLT6" s="2888" t="s">
        <v>3241</v>
      </c>
      <c r="BLU6" s="2888" t="s">
        <v>3241</v>
      </c>
      <c r="BLV6" s="2888" t="s">
        <v>3241</v>
      </c>
      <c r="BLW6" s="2888" t="s">
        <v>3241</v>
      </c>
      <c r="BLX6" s="2888" t="s">
        <v>3241</v>
      </c>
      <c r="BLY6" s="2888" t="s">
        <v>3241</v>
      </c>
      <c r="BLZ6" s="2888" t="s">
        <v>3241</v>
      </c>
      <c r="BMA6" s="2888" t="s">
        <v>3241</v>
      </c>
      <c r="BMB6" s="2888" t="s">
        <v>3241</v>
      </c>
      <c r="BMC6" s="2888" t="s">
        <v>3241</v>
      </c>
      <c r="BMD6" s="2888" t="s">
        <v>3241</v>
      </c>
      <c r="BME6" s="2888" t="s">
        <v>3241</v>
      </c>
      <c r="BMF6" s="2888" t="s">
        <v>3241</v>
      </c>
      <c r="BMG6" s="2888" t="s">
        <v>3241</v>
      </c>
      <c r="BMH6" s="2888" t="s">
        <v>3241</v>
      </c>
      <c r="BMI6" s="2888" t="s">
        <v>3241</v>
      </c>
      <c r="BMJ6" s="2888" t="s">
        <v>3241</v>
      </c>
      <c r="BMK6" s="2888" t="s">
        <v>3241</v>
      </c>
      <c r="BML6" s="2888" t="s">
        <v>3241</v>
      </c>
      <c r="BMM6" s="2888" t="s">
        <v>3241</v>
      </c>
      <c r="BMN6" s="2888" t="s">
        <v>3241</v>
      </c>
      <c r="BMO6" s="2888" t="s">
        <v>3241</v>
      </c>
      <c r="BMP6" s="2888" t="s">
        <v>3241</v>
      </c>
      <c r="BMQ6" s="2888" t="s">
        <v>3241</v>
      </c>
      <c r="BMR6" s="2888" t="s">
        <v>3241</v>
      </c>
      <c r="BMS6" s="2888" t="s">
        <v>3241</v>
      </c>
      <c r="BMT6" s="2888" t="s">
        <v>3241</v>
      </c>
      <c r="BMU6" s="2888" t="s">
        <v>3241</v>
      </c>
      <c r="BMV6" s="2888" t="s">
        <v>3241</v>
      </c>
      <c r="BMW6" s="2888" t="s">
        <v>3241</v>
      </c>
      <c r="BMX6" s="2888" t="s">
        <v>3241</v>
      </c>
      <c r="BMY6" s="2888" t="s">
        <v>3241</v>
      </c>
      <c r="BMZ6" s="2888" t="s">
        <v>3241</v>
      </c>
      <c r="BNA6" s="2888" t="s">
        <v>3241</v>
      </c>
      <c r="BNB6" s="2888" t="s">
        <v>3241</v>
      </c>
      <c r="BNC6" s="2888" t="s">
        <v>3241</v>
      </c>
      <c r="BND6" s="2888" t="s">
        <v>3241</v>
      </c>
      <c r="BNE6" s="2888" t="s">
        <v>3241</v>
      </c>
      <c r="BNF6" s="2888" t="s">
        <v>3241</v>
      </c>
      <c r="BNG6" s="2888" t="s">
        <v>3241</v>
      </c>
      <c r="BNH6" s="2888" t="s">
        <v>3241</v>
      </c>
      <c r="BNI6" s="2888" t="s">
        <v>3241</v>
      </c>
      <c r="BNJ6" s="2888" t="s">
        <v>3241</v>
      </c>
      <c r="BNK6" s="2888" t="s">
        <v>3241</v>
      </c>
      <c r="BNL6" s="2888" t="s">
        <v>3241</v>
      </c>
      <c r="BNM6" s="2888" t="s">
        <v>3241</v>
      </c>
      <c r="BNN6" s="2888" t="s">
        <v>3241</v>
      </c>
      <c r="BNO6" s="2888" t="s">
        <v>3241</v>
      </c>
      <c r="BNP6" s="2888" t="s">
        <v>3241</v>
      </c>
      <c r="BNQ6" s="2888" t="s">
        <v>3241</v>
      </c>
      <c r="BNR6" s="2888" t="s">
        <v>3241</v>
      </c>
      <c r="BNS6" s="2888" t="s">
        <v>3241</v>
      </c>
      <c r="BNT6" s="2888" t="s">
        <v>3241</v>
      </c>
      <c r="BNU6" s="2888" t="s">
        <v>3241</v>
      </c>
      <c r="BNV6" s="2888" t="s">
        <v>3241</v>
      </c>
      <c r="BNW6" s="2888" t="s">
        <v>3241</v>
      </c>
      <c r="BNX6" s="2888" t="s">
        <v>3241</v>
      </c>
      <c r="BNY6" s="2888" t="s">
        <v>3241</v>
      </c>
      <c r="BNZ6" s="2888" t="s">
        <v>3241</v>
      </c>
      <c r="BOA6" s="2888" t="s">
        <v>3241</v>
      </c>
      <c r="BOB6" s="2888" t="s">
        <v>3241</v>
      </c>
      <c r="BOC6" s="2888" t="s">
        <v>3241</v>
      </c>
      <c r="BOD6" s="2888" t="s">
        <v>3241</v>
      </c>
      <c r="BOE6" s="2888" t="s">
        <v>3241</v>
      </c>
      <c r="BOF6" s="2888" t="s">
        <v>3241</v>
      </c>
      <c r="BOG6" s="2888" t="s">
        <v>3241</v>
      </c>
      <c r="BOH6" s="2888" t="s">
        <v>3241</v>
      </c>
      <c r="BOI6" s="2888" t="s">
        <v>3241</v>
      </c>
      <c r="BOJ6" s="2888" t="s">
        <v>3241</v>
      </c>
      <c r="BOK6" s="2888" t="s">
        <v>3241</v>
      </c>
      <c r="BOL6" s="2888" t="s">
        <v>3241</v>
      </c>
      <c r="BOM6" s="2888" t="s">
        <v>3241</v>
      </c>
      <c r="BON6" s="2888" t="s">
        <v>3241</v>
      </c>
      <c r="BOO6" s="2888" t="s">
        <v>3241</v>
      </c>
      <c r="BOP6" s="2888" t="s">
        <v>3241</v>
      </c>
      <c r="BOQ6" s="2888" t="s">
        <v>3241</v>
      </c>
      <c r="BOR6" s="2888" t="s">
        <v>3241</v>
      </c>
      <c r="BOS6" s="2888" t="s">
        <v>3241</v>
      </c>
      <c r="BOT6" s="2888" t="s">
        <v>3241</v>
      </c>
      <c r="BOU6" s="2888" t="s">
        <v>3241</v>
      </c>
      <c r="BOV6" s="2888" t="s">
        <v>3241</v>
      </c>
      <c r="BOW6" s="2888" t="s">
        <v>3241</v>
      </c>
      <c r="BOX6" s="2888" t="s">
        <v>3241</v>
      </c>
      <c r="BOY6" s="2888" t="s">
        <v>3241</v>
      </c>
      <c r="BOZ6" s="2888" t="s">
        <v>3241</v>
      </c>
      <c r="BPA6" s="2888" t="s">
        <v>3241</v>
      </c>
      <c r="BPB6" s="2888" t="s">
        <v>3241</v>
      </c>
      <c r="BPC6" s="2888" t="s">
        <v>3241</v>
      </c>
      <c r="BPD6" s="2888" t="s">
        <v>3241</v>
      </c>
      <c r="BPE6" s="2888" t="s">
        <v>3241</v>
      </c>
      <c r="BPF6" s="2888" t="s">
        <v>3241</v>
      </c>
      <c r="BPG6" s="2888" t="s">
        <v>3241</v>
      </c>
      <c r="BPH6" s="2888" t="s">
        <v>3241</v>
      </c>
      <c r="BPI6" s="2888" t="s">
        <v>3241</v>
      </c>
      <c r="BPJ6" s="2888" t="s">
        <v>3241</v>
      </c>
      <c r="BPK6" s="2888" t="s">
        <v>3241</v>
      </c>
      <c r="BPL6" s="2888" t="s">
        <v>3241</v>
      </c>
      <c r="BPM6" s="2888" t="s">
        <v>3241</v>
      </c>
      <c r="BPN6" s="2888" t="s">
        <v>3241</v>
      </c>
      <c r="BPO6" s="2888" t="s">
        <v>3241</v>
      </c>
      <c r="BPP6" s="2888" t="s">
        <v>3241</v>
      </c>
      <c r="BPQ6" s="2888" t="s">
        <v>3241</v>
      </c>
      <c r="BPR6" s="2888" t="s">
        <v>3241</v>
      </c>
      <c r="BPS6" s="2888" t="s">
        <v>3241</v>
      </c>
      <c r="BPT6" s="2888" t="s">
        <v>3241</v>
      </c>
      <c r="BPU6" s="2888" t="s">
        <v>3241</v>
      </c>
      <c r="BPV6" s="2888" t="s">
        <v>3241</v>
      </c>
      <c r="BPW6" s="2888" t="s">
        <v>3241</v>
      </c>
      <c r="BPX6" s="2888" t="s">
        <v>3241</v>
      </c>
      <c r="BPY6" s="2888" t="s">
        <v>3241</v>
      </c>
      <c r="BPZ6" s="2888" t="s">
        <v>3241</v>
      </c>
      <c r="BQA6" s="2888" t="s">
        <v>3241</v>
      </c>
      <c r="BQB6" s="2888" t="s">
        <v>3241</v>
      </c>
      <c r="BQC6" s="2888" t="s">
        <v>3241</v>
      </c>
      <c r="BQD6" s="2888" t="s">
        <v>3241</v>
      </c>
      <c r="BQE6" s="2888" t="s">
        <v>3241</v>
      </c>
      <c r="BQF6" s="2888" t="s">
        <v>3241</v>
      </c>
      <c r="BQG6" s="2888" t="s">
        <v>3241</v>
      </c>
      <c r="BQH6" s="2888" t="s">
        <v>3241</v>
      </c>
      <c r="BQI6" s="2888" t="s">
        <v>3241</v>
      </c>
      <c r="BQJ6" s="2888" t="s">
        <v>3241</v>
      </c>
      <c r="BQK6" s="2888" t="s">
        <v>3241</v>
      </c>
      <c r="BQL6" s="2888" t="s">
        <v>3241</v>
      </c>
      <c r="BQM6" s="2888" t="s">
        <v>3241</v>
      </c>
      <c r="BQN6" s="2888" t="s">
        <v>3241</v>
      </c>
      <c r="BQO6" s="2888" t="s">
        <v>3241</v>
      </c>
      <c r="BQP6" s="2888" t="s">
        <v>3241</v>
      </c>
      <c r="BQQ6" s="2888" t="s">
        <v>3241</v>
      </c>
      <c r="BQR6" s="2888" t="s">
        <v>3241</v>
      </c>
      <c r="BQS6" s="2888" t="s">
        <v>3241</v>
      </c>
      <c r="BQT6" s="2888" t="s">
        <v>3241</v>
      </c>
      <c r="BQU6" s="2888" t="s">
        <v>3241</v>
      </c>
      <c r="BQV6" s="2888" t="s">
        <v>3241</v>
      </c>
      <c r="BQW6" s="2888" t="s">
        <v>3241</v>
      </c>
      <c r="BQX6" s="2888" t="s">
        <v>3241</v>
      </c>
      <c r="BQY6" s="2888" t="s">
        <v>3241</v>
      </c>
      <c r="BQZ6" s="2888" t="s">
        <v>3241</v>
      </c>
      <c r="BRA6" s="2888" t="s">
        <v>3241</v>
      </c>
      <c r="BRB6" s="2888" t="s">
        <v>3241</v>
      </c>
      <c r="BRC6" s="2888" t="s">
        <v>3241</v>
      </c>
      <c r="BRD6" s="2888" t="s">
        <v>3241</v>
      </c>
      <c r="BRE6" s="2888" t="s">
        <v>3241</v>
      </c>
      <c r="BRF6" s="2888" t="s">
        <v>3241</v>
      </c>
      <c r="BRG6" s="2888" t="s">
        <v>3241</v>
      </c>
      <c r="BRH6" s="2888" t="s">
        <v>3241</v>
      </c>
      <c r="BRI6" s="2888" t="s">
        <v>3241</v>
      </c>
      <c r="BRJ6" s="2888" t="s">
        <v>3241</v>
      </c>
      <c r="BRK6" s="2888" t="s">
        <v>3241</v>
      </c>
      <c r="BRL6" s="2888" t="s">
        <v>3241</v>
      </c>
      <c r="BRM6" s="2888" t="s">
        <v>3241</v>
      </c>
      <c r="BRN6" s="2888" t="s">
        <v>3241</v>
      </c>
      <c r="BRO6" s="2888" t="s">
        <v>3241</v>
      </c>
      <c r="BRP6" s="2888" t="s">
        <v>3241</v>
      </c>
      <c r="BRQ6" s="2888" t="s">
        <v>3241</v>
      </c>
      <c r="BRR6" s="2888" t="s">
        <v>3241</v>
      </c>
      <c r="BRS6" s="2888" t="s">
        <v>3241</v>
      </c>
      <c r="BRT6" s="2888" t="s">
        <v>3241</v>
      </c>
      <c r="BRU6" s="2888" t="s">
        <v>3241</v>
      </c>
      <c r="BRV6" s="2888" t="s">
        <v>3241</v>
      </c>
      <c r="BRW6" s="2888" t="s">
        <v>3241</v>
      </c>
      <c r="BRX6" s="2888" t="s">
        <v>3241</v>
      </c>
      <c r="BRY6" s="2888" t="s">
        <v>3241</v>
      </c>
      <c r="BRZ6" s="2888" t="s">
        <v>3241</v>
      </c>
      <c r="BSA6" s="2888" t="s">
        <v>3241</v>
      </c>
      <c r="BSB6" s="2888" t="s">
        <v>3241</v>
      </c>
      <c r="BSC6" s="2888" t="s">
        <v>3241</v>
      </c>
      <c r="BSD6" s="2888" t="s">
        <v>3241</v>
      </c>
      <c r="BSE6" s="2888" t="s">
        <v>3241</v>
      </c>
      <c r="BSF6" s="2888" t="s">
        <v>3241</v>
      </c>
      <c r="BSG6" s="2888" t="s">
        <v>3241</v>
      </c>
      <c r="BSH6" s="2888" t="s">
        <v>3241</v>
      </c>
      <c r="BSI6" s="2888" t="s">
        <v>3241</v>
      </c>
      <c r="BSJ6" s="2888" t="s">
        <v>3241</v>
      </c>
      <c r="BSK6" s="2888" t="s">
        <v>3241</v>
      </c>
      <c r="BSL6" s="2888" t="s">
        <v>3241</v>
      </c>
      <c r="BSM6" s="2888" t="s">
        <v>3241</v>
      </c>
      <c r="BSN6" s="2888" t="s">
        <v>3241</v>
      </c>
      <c r="BSO6" s="2888" t="s">
        <v>3241</v>
      </c>
      <c r="BSP6" s="2888" t="s">
        <v>3241</v>
      </c>
      <c r="BSQ6" s="2888" t="s">
        <v>3241</v>
      </c>
      <c r="BSR6" s="2888" t="s">
        <v>3241</v>
      </c>
      <c r="BSS6" s="2888" t="s">
        <v>3241</v>
      </c>
      <c r="BST6" s="2888" t="s">
        <v>3241</v>
      </c>
      <c r="BSU6" s="2888" t="s">
        <v>3241</v>
      </c>
      <c r="BSV6" s="2888" t="s">
        <v>3241</v>
      </c>
      <c r="BSW6" s="2888" t="s">
        <v>3241</v>
      </c>
      <c r="BSX6" s="2888" t="s">
        <v>3241</v>
      </c>
      <c r="BSY6" s="2888" t="s">
        <v>3241</v>
      </c>
      <c r="BSZ6" s="2888" t="s">
        <v>3241</v>
      </c>
      <c r="BTA6" s="2888" t="s">
        <v>3241</v>
      </c>
      <c r="BTB6" s="2888" t="s">
        <v>3241</v>
      </c>
      <c r="BTC6" s="2888" t="s">
        <v>3241</v>
      </c>
      <c r="BTD6" s="2888" t="s">
        <v>3241</v>
      </c>
      <c r="BTE6" s="2888" t="s">
        <v>3241</v>
      </c>
      <c r="BTF6" s="2888" t="s">
        <v>3241</v>
      </c>
      <c r="BTG6" s="2888" t="s">
        <v>3241</v>
      </c>
      <c r="BTH6" s="2888" t="s">
        <v>3241</v>
      </c>
      <c r="BTI6" s="2888" t="s">
        <v>3241</v>
      </c>
      <c r="BTJ6" s="2888" t="s">
        <v>3241</v>
      </c>
      <c r="BTK6" s="2888" t="s">
        <v>3241</v>
      </c>
      <c r="BTL6" s="2888" t="s">
        <v>3241</v>
      </c>
      <c r="BTM6" s="2888" t="s">
        <v>3241</v>
      </c>
      <c r="BTN6" s="2888" t="s">
        <v>3241</v>
      </c>
      <c r="BTO6" s="2888" t="s">
        <v>3241</v>
      </c>
      <c r="BTP6" s="2888" t="s">
        <v>3241</v>
      </c>
      <c r="BTQ6" s="2888" t="s">
        <v>3241</v>
      </c>
      <c r="BTR6" s="2888" t="s">
        <v>3241</v>
      </c>
      <c r="BTS6" s="2888" t="s">
        <v>3241</v>
      </c>
      <c r="BTT6" s="2888" t="s">
        <v>3241</v>
      </c>
      <c r="BTU6" s="2888" t="s">
        <v>3241</v>
      </c>
      <c r="BTV6" s="2888" t="s">
        <v>3241</v>
      </c>
      <c r="BTW6" s="2888" t="s">
        <v>3241</v>
      </c>
      <c r="BTX6" s="2888" t="s">
        <v>3241</v>
      </c>
      <c r="BTY6" s="2888" t="s">
        <v>3241</v>
      </c>
      <c r="BTZ6" s="2888" t="s">
        <v>3241</v>
      </c>
      <c r="BUA6" s="2888" t="s">
        <v>3241</v>
      </c>
      <c r="BUB6" s="2888" t="s">
        <v>3241</v>
      </c>
      <c r="BUC6" s="2888" t="s">
        <v>3241</v>
      </c>
      <c r="BUD6" s="2888" t="s">
        <v>3241</v>
      </c>
      <c r="BUE6" s="2888" t="s">
        <v>3241</v>
      </c>
      <c r="BUF6" s="2888" t="s">
        <v>3241</v>
      </c>
      <c r="BUG6" s="2888" t="s">
        <v>3241</v>
      </c>
      <c r="BUH6" s="2888" t="s">
        <v>3241</v>
      </c>
      <c r="BUI6" s="2888" t="s">
        <v>3241</v>
      </c>
      <c r="BUJ6" s="2888" t="s">
        <v>3241</v>
      </c>
      <c r="BUK6" s="2888" t="s">
        <v>3241</v>
      </c>
      <c r="BUL6" s="2888" t="s">
        <v>3241</v>
      </c>
      <c r="BUM6" s="2888" t="s">
        <v>3241</v>
      </c>
      <c r="BUN6" s="2888" t="s">
        <v>3241</v>
      </c>
      <c r="BUO6" s="2888" t="s">
        <v>3241</v>
      </c>
      <c r="BUP6" s="2888" t="s">
        <v>3241</v>
      </c>
      <c r="BUQ6" s="2888" t="s">
        <v>3241</v>
      </c>
      <c r="BUR6" s="2888" t="s">
        <v>3241</v>
      </c>
      <c r="BUS6" s="2888" t="s">
        <v>3241</v>
      </c>
      <c r="BUT6" s="2888" t="s">
        <v>3241</v>
      </c>
      <c r="BUU6" s="2888" t="s">
        <v>3241</v>
      </c>
      <c r="BUV6" s="2888" t="s">
        <v>3241</v>
      </c>
      <c r="BUW6" s="2888" t="s">
        <v>3241</v>
      </c>
      <c r="BUX6" s="2888" t="s">
        <v>3241</v>
      </c>
      <c r="BUY6" s="2888" t="s">
        <v>3241</v>
      </c>
      <c r="BUZ6" s="2888" t="s">
        <v>3241</v>
      </c>
      <c r="BVA6" s="2888" t="s">
        <v>3241</v>
      </c>
      <c r="BVB6" s="2888" t="s">
        <v>3241</v>
      </c>
      <c r="BVC6" s="2888" t="s">
        <v>3241</v>
      </c>
      <c r="BVD6" s="2888" t="s">
        <v>3241</v>
      </c>
      <c r="BVE6" s="2888" t="s">
        <v>3241</v>
      </c>
      <c r="BVF6" s="2888" t="s">
        <v>3241</v>
      </c>
      <c r="BVG6" s="2888" t="s">
        <v>3241</v>
      </c>
      <c r="BVH6" s="2888" t="s">
        <v>3241</v>
      </c>
      <c r="BVI6" s="2888" t="s">
        <v>3241</v>
      </c>
      <c r="BVJ6" s="2888" t="s">
        <v>3241</v>
      </c>
      <c r="BVK6" s="2888" t="s">
        <v>3241</v>
      </c>
      <c r="BVL6" s="2888" t="s">
        <v>3241</v>
      </c>
      <c r="BVM6" s="2888" t="s">
        <v>3241</v>
      </c>
      <c r="BVN6" s="2888" t="s">
        <v>3241</v>
      </c>
      <c r="BVO6" s="2888" t="s">
        <v>3241</v>
      </c>
      <c r="BVP6" s="2888" t="s">
        <v>3241</v>
      </c>
      <c r="BVQ6" s="2888" t="s">
        <v>3241</v>
      </c>
      <c r="BVR6" s="2888" t="s">
        <v>3241</v>
      </c>
      <c r="BVS6" s="2888" t="s">
        <v>3241</v>
      </c>
      <c r="BVT6" s="2888" t="s">
        <v>3241</v>
      </c>
      <c r="BVU6" s="2888" t="s">
        <v>3241</v>
      </c>
      <c r="BVV6" s="2888" t="s">
        <v>3241</v>
      </c>
      <c r="BVW6" s="2888" t="s">
        <v>3241</v>
      </c>
      <c r="BVX6" s="2888" t="s">
        <v>3241</v>
      </c>
      <c r="BVY6" s="2888" t="s">
        <v>3241</v>
      </c>
      <c r="BVZ6" s="2888" t="s">
        <v>3241</v>
      </c>
      <c r="BWA6" s="2888" t="s">
        <v>3241</v>
      </c>
      <c r="BWB6" s="2888" t="s">
        <v>3241</v>
      </c>
      <c r="BWC6" s="2888" t="s">
        <v>3241</v>
      </c>
      <c r="BWD6" s="2888" t="s">
        <v>3241</v>
      </c>
      <c r="BWE6" s="2888" t="s">
        <v>3241</v>
      </c>
      <c r="BWF6" s="2888" t="s">
        <v>3241</v>
      </c>
      <c r="BWG6" s="2888" t="s">
        <v>3241</v>
      </c>
      <c r="BWH6" s="2888" t="s">
        <v>3241</v>
      </c>
      <c r="BWI6" s="2888" t="s">
        <v>3241</v>
      </c>
      <c r="BWJ6" s="2888" t="s">
        <v>3241</v>
      </c>
      <c r="BWK6" s="2888" t="s">
        <v>3241</v>
      </c>
      <c r="BWL6" s="2888" t="s">
        <v>3241</v>
      </c>
      <c r="BWM6" s="2888" t="s">
        <v>3241</v>
      </c>
      <c r="BWN6" s="2888" t="s">
        <v>3241</v>
      </c>
      <c r="BWO6" s="2888" t="s">
        <v>3241</v>
      </c>
      <c r="BWP6" s="2888" t="s">
        <v>3241</v>
      </c>
      <c r="BWQ6" s="2888" t="s">
        <v>3241</v>
      </c>
      <c r="BWR6" s="2888" t="s">
        <v>3241</v>
      </c>
      <c r="BWS6" s="2888" t="s">
        <v>3241</v>
      </c>
      <c r="BWT6" s="2888" t="s">
        <v>3241</v>
      </c>
      <c r="BWU6" s="2888" t="s">
        <v>3241</v>
      </c>
      <c r="BWV6" s="2888" t="s">
        <v>3241</v>
      </c>
      <c r="BWW6" s="2888" t="s">
        <v>3241</v>
      </c>
      <c r="BWX6" s="2888" t="s">
        <v>3241</v>
      </c>
      <c r="BWY6" s="2888" t="s">
        <v>3241</v>
      </c>
      <c r="BWZ6" s="2888" t="s">
        <v>3241</v>
      </c>
      <c r="BXA6" s="2888" t="s">
        <v>3241</v>
      </c>
      <c r="BXB6" s="2888" t="s">
        <v>3241</v>
      </c>
      <c r="BXC6" s="2888" t="s">
        <v>3241</v>
      </c>
      <c r="BXD6" s="2888" t="s">
        <v>3241</v>
      </c>
      <c r="BXE6" s="2888" t="s">
        <v>3241</v>
      </c>
      <c r="BXF6" s="2888" t="s">
        <v>3241</v>
      </c>
      <c r="BXG6" s="2888" t="s">
        <v>3241</v>
      </c>
      <c r="BXH6" s="2888" t="s">
        <v>3241</v>
      </c>
      <c r="BXI6" s="2888" t="s">
        <v>3241</v>
      </c>
      <c r="BXJ6" s="2888" t="s">
        <v>3241</v>
      </c>
      <c r="BXK6" s="2888" t="s">
        <v>3241</v>
      </c>
      <c r="BXL6" s="2888" t="s">
        <v>3241</v>
      </c>
      <c r="BXM6" s="2888" t="s">
        <v>3241</v>
      </c>
      <c r="BXN6" s="2888" t="s">
        <v>3241</v>
      </c>
      <c r="BXO6" s="2888" t="s">
        <v>3241</v>
      </c>
      <c r="BXP6" s="2888" t="s">
        <v>3241</v>
      </c>
      <c r="BXQ6" s="2888" t="s">
        <v>3241</v>
      </c>
      <c r="BXR6" s="2888" t="s">
        <v>3241</v>
      </c>
      <c r="BXS6" s="2888" t="s">
        <v>3241</v>
      </c>
      <c r="BXT6" s="2888" t="s">
        <v>3241</v>
      </c>
      <c r="BXU6" s="2888" t="s">
        <v>3241</v>
      </c>
      <c r="BXV6" s="2888" t="s">
        <v>3241</v>
      </c>
      <c r="BXW6" s="2888" t="s">
        <v>3241</v>
      </c>
      <c r="BXX6" s="2888" t="s">
        <v>3241</v>
      </c>
      <c r="BXY6" s="2888" t="s">
        <v>3241</v>
      </c>
      <c r="BXZ6" s="2888" t="s">
        <v>3241</v>
      </c>
      <c r="BYA6" s="2888" t="s">
        <v>3241</v>
      </c>
      <c r="BYB6" s="2888" t="s">
        <v>3241</v>
      </c>
      <c r="BYC6" s="2888" t="s">
        <v>3241</v>
      </c>
      <c r="BYD6" s="2888" t="s">
        <v>3241</v>
      </c>
      <c r="BYE6" s="2888" t="s">
        <v>3241</v>
      </c>
      <c r="BYF6" s="2888" t="s">
        <v>3241</v>
      </c>
      <c r="BYG6" s="2888" t="s">
        <v>3241</v>
      </c>
      <c r="BYH6" s="2888" t="s">
        <v>3241</v>
      </c>
      <c r="BYI6" s="2888" t="s">
        <v>3241</v>
      </c>
      <c r="BYJ6" s="2888" t="s">
        <v>3241</v>
      </c>
      <c r="BYK6" s="2888" t="s">
        <v>3241</v>
      </c>
      <c r="BYL6" s="2888" t="s">
        <v>3241</v>
      </c>
      <c r="BYM6" s="2888" t="s">
        <v>3241</v>
      </c>
      <c r="BYN6" s="2888" t="s">
        <v>3241</v>
      </c>
      <c r="BYO6" s="2888" t="s">
        <v>3241</v>
      </c>
      <c r="BYP6" s="2888" t="s">
        <v>3241</v>
      </c>
      <c r="BYQ6" s="2888" t="s">
        <v>3241</v>
      </c>
      <c r="BYR6" s="2888" t="s">
        <v>3241</v>
      </c>
      <c r="BYS6" s="2888" t="s">
        <v>3241</v>
      </c>
      <c r="BYT6" s="2888" t="s">
        <v>3241</v>
      </c>
      <c r="BYU6" s="2888" t="s">
        <v>3241</v>
      </c>
      <c r="BYV6" s="2888" t="s">
        <v>3241</v>
      </c>
      <c r="BYW6" s="2888" t="s">
        <v>3241</v>
      </c>
      <c r="BYX6" s="2888" t="s">
        <v>3241</v>
      </c>
      <c r="BYY6" s="2888" t="s">
        <v>3241</v>
      </c>
      <c r="BYZ6" s="2888" t="s">
        <v>3241</v>
      </c>
      <c r="BZA6" s="2888" t="s">
        <v>3241</v>
      </c>
      <c r="BZB6" s="2888" t="s">
        <v>3241</v>
      </c>
      <c r="BZC6" s="2888" t="s">
        <v>3241</v>
      </c>
      <c r="BZD6" s="2888" t="s">
        <v>3241</v>
      </c>
      <c r="BZE6" s="2888" t="s">
        <v>3241</v>
      </c>
      <c r="BZF6" s="2888" t="s">
        <v>3241</v>
      </c>
      <c r="BZG6" s="2888" t="s">
        <v>3241</v>
      </c>
      <c r="BZH6" s="2888" t="s">
        <v>3241</v>
      </c>
      <c r="BZI6" s="2888" t="s">
        <v>3241</v>
      </c>
      <c r="BZJ6" s="2888" t="s">
        <v>3241</v>
      </c>
      <c r="BZK6" s="2888" t="s">
        <v>3241</v>
      </c>
      <c r="BZL6" s="2888" t="s">
        <v>3241</v>
      </c>
      <c r="BZM6" s="2888" t="s">
        <v>3241</v>
      </c>
      <c r="BZN6" s="2888" t="s">
        <v>3241</v>
      </c>
      <c r="BZO6" s="2888" t="s">
        <v>3241</v>
      </c>
      <c r="BZP6" s="2888" t="s">
        <v>3241</v>
      </c>
      <c r="BZQ6" s="2888" t="s">
        <v>3241</v>
      </c>
      <c r="BZR6" s="2888" t="s">
        <v>3241</v>
      </c>
      <c r="BZS6" s="2888" t="s">
        <v>3241</v>
      </c>
      <c r="BZT6" s="2888" t="s">
        <v>3241</v>
      </c>
      <c r="BZU6" s="2888" t="s">
        <v>3241</v>
      </c>
      <c r="BZV6" s="2888" t="s">
        <v>3241</v>
      </c>
      <c r="BZW6" s="2888" t="s">
        <v>3241</v>
      </c>
      <c r="BZX6" s="2888" t="s">
        <v>3241</v>
      </c>
      <c r="BZY6" s="2888" t="s">
        <v>3241</v>
      </c>
      <c r="BZZ6" s="2888" t="s">
        <v>3241</v>
      </c>
      <c r="CAA6" s="2888" t="s">
        <v>3241</v>
      </c>
      <c r="CAB6" s="2888" t="s">
        <v>3241</v>
      </c>
      <c r="CAC6" s="2888" t="s">
        <v>3241</v>
      </c>
      <c r="CAD6" s="2888" t="s">
        <v>3241</v>
      </c>
      <c r="CAE6" s="2888" t="s">
        <v>3241</v>
      </c>
      <c r="CAF6" s="2888" t="s">
        <v>3241</v>
      </c>
      <c r="CAG6" s="2888" t="s">
        <v>3241</v>
      </c>
      <c r="CAH6" s="2888" t="s">
        <v>3241</v>
      </c>
      <c r="CAI6" s="2888" t="s">
        <v>3241</v>
      </c>
      <c r="CAJ6" s="2888" t="s">
        <v>3241</v>
      </c>
      <c r="CAK6" s="2888" t="s">
        <v>3241</v>
      </c>
      <c r="CAL6" s="2888" t="s">
        <v>3241</v>
      </c>
      <c r="CAM6" s="2888" t="s">
        <v>3241</v>
      </c>
      <c r="CAN6" s="2888" t="s">
        <v>3241</v>
      </c>
      <c r="CAO6" s="2888" t="s">
        <v>3241</v>
      </c>
      <c r="CAP6" s="2888" t="s">
        <v>3241</v>
      </c>
      <c r="CAQ6" s="2888" t="s">
        <v>3241</v>
      </c>
      <c r="CAR6" s="2888" t="s">
        <v>3241</v>
      </c>
      <c r="CAS6" s="2888" t="s">
        <v>3241</v>
      </c>
      <c r="CAT6" s="2888" t="s">
        <v>3241</v>
      </c>
      <c r="CAU6" s="2888" t="s">
        <v>3241</v>
      </c>
      <c r="CAV6" s="2888" t="s">
        <v>3241</v>
      </c>
      <c r="CAW6" s="2888" t="s">
        <v>3241</v>
      </c>
      <c r="CAX6" s="2888" t="s">
        <v>3241</v>
      </c>
      <c r="CAY6" s="2888" t="s">
        <v>3241</v>
      </c>
      <c r="CAZ6" s="2888" t="s">
        <v>3241</v>
      </c>
      <c r="CBA6" s="2888" t="s">
        <v>3241</v>
      </c>
      <c r="CBB6" s="2888" t="s">
        <v>3241</v>
      </c>
      <c r="CBC6" s="2888" t="s">
        <v>3241</v>
      </c>
      <c r="CBD6" s="2888" t="s">
        <v>3241</v>
      </c>
      <c r="CBE6" s="2888" t="s">
        <v>3241</v>
      </c>
      <c r="CBF6" s="2888" t="s">
        <v>3241</v>
      </c>
      <c r="CBG6" s="2888" t="s">
        <v>3241</v>
      </c>
      <c r="CBH6" s="2888" t="s">
        <v>3241</v>
      </c>
      <c r="CBI6" s="2888" t="s">
        <v>3241</v>
      </c>
      <c r="CBJ6" s="2888" t="s">
        <v>3241</v>
      </c>
      <c r="CBK6" s="2888" t="s">
        <v>3241</v>
      </c>
      <c r="CBL6" s="2888" t="s">
        <v>3241</v>
      </c>
      <c r="CBM6" s="2888" t="s">
        <v>3241</v>
      </c>
      <c r="CBN6" s="2888" t="s">
        <v>3241</v>
      </c>
      <c r="CBO6" s="2888" t="s">
        <v>3241</v>
      </c>
      <c r="CBP6" s="2888" t="s">
        <v>3241</v>
      </c>
      <c r="CBQ6" s="2888" t="s">
        <v>3241</v>
      </c>
      <c r="CBR6" s="2888" t="s">
        <v>3241</v>
      </c>
      <c r="CBS6" s="2888" t="s">
        <v>3241</v>
      </c>
      <c r="CBT6" s="2888" t="s">
        <v>3241</v>
      </c>
      <c r="CBU6" s="2888" t="s">
        <v>3241</v>
      </c>
      <c r="CBV6" s="2888" t="s">
        <v>3241</v>
      </c>
      <c r="CBW6" s="2888" t="s">
        <v>3241</v>
      </c>
      <c r="CBX6" s="2888" t="s">
        <v>3241</v>
      </c>
      <c r="CBY6" s="2888" t="s">
        <v>3241</v>
      </c>
      <c r="CBZ6" s="2888" t="s">
        <v>3241</v>
      </c>
      <c r="CCA6" s="2888" t="s">
        <v>3241</v>
      </c>
      <c r="CCB6" s="2888" t="s">
        <v>3241</v>
      </c>
      <c r="CCC6" s="2888" t="s">
        <v>3241</v>
      </c>
      <c r="CCD6" s="2888" t="s">
        <v>3241</v>
      </c>
      <c r="CCE6" s="2888" t="s">
        <v>3241</v>
      </c>
      <c r="CCF6" s="2888" t="s">
        <v>3241</v>
      </c>
      <c r="CCG6" s="2888" t="s">
        <v>3241</v>
      </c>
      <c r="CCH6" s="2888" t="s">
        <v>3241</v>
      </c>
      <c r="CCI6" s="2888" t="s">
        <v>3241</v>
      </c>
      <c r="CCJ6" s="2888" t="s">
        <v>3241</v>
      </c>
      <c r="CCK6" s="2888" t="s">
        <v>3241</v>
      </c>
      <c r="CCL6" s="2888" t="s">
        <v>3241</v>
      </c>
      <c r="CCM6" s="2888" t="s">
        <v>3241</v>
      </c>
      <c r="CCN6" s="2888" t="s">
        <v>3241</v>
      </c>
      <c r="CCO6" s="2888" t="s">
        <v>3241</v>
      </c>
      <c r="CCP6" s="2888" t="s">
        <v>3241</v>
      </c>
      <c r="CCQ6" s="2888" t="s">
        <v>3241</v>
      </c>
      <c r="CCR6" s="2888" t="s">
        <v>3241</v>
      </c>
      <c r="CCS6" s="2888" t="s">
        <v>3241</v>
      </c>
      <c r="CCT6" s="2888" t="s">
        <v>3241</v>
      </c>
      <c r="CCU6" s="2888" t="s">
        <v>3241</v>
      </c>
      <c r="CCV6" s="2888" t="s">
        <v>3241</v>
      </c>
      <c r="CCW6" s="2888" t="s">
        <v>3241</v>
      </c>
      <c r="CCX6" s="2888" t="s">
        <v>3241</v>
      </c>
      <c r="CCY6" s="2888" t="s">
        <v>3241</v>
      </c>
      <c r="CCZ6" s="2888" t="s">
        <v>3241</v>
      </c>
      <c r="CDA6" s="2888" t="s">
        <v>3241</v>
      </c>
      <c r="CDB6" s="2888" t="s">
        <v>3241</v>
      </c>
      <c r="CDC6" s="2888" t="s">
        <v>3241</v>
      </c>
      <c r="CDD6" s="2888" t="s">
        <v>3241</v>
      </c>
      <c r="CDE6" s="2888" t="s">
        <v>3241</v>
      </c>
      <c r="CDF6" s="2888" t="s">
        <v>3241</v>
      </c>
      <c r="CDG6" s="2888" t="s">
        <v>3241</v>
      </c>
      <c r="CDH6" s="2888" t="s">
        <v>3241</v>
      </c>
      <c r="CDI6" s="2888" t="s">
        <v>3241</v>
      </c>
      <c r="CDJ6" s="2888" t="s">
        <v>3241</v>
      </c>
      <c r="CDK6" s="2888" t="s">
        <v>3241</v>
      </c>
      <c r="CDL6" s="2888" t="s">
        <v>3241</v>
      </c>
      <c r="CDM6" s="2888" t="s">
        <v>3241</v>
      </c>
      <c r="CDN6" s="2888" t="s">
        <v>3241</v>
      </c>
      <c r="CDO6" s="2888" t="s">
        <v>3241</v>
      </c>
      <c r="CDP6" s="2888" t="s">
        <v>3241</v>
      </c>
      <c r="CDQ6" s="2888" t="s">
        <v>3241</v>
      </c>
      <c r="CDR6" s="2888" t="s">
        <v>3241</v>
      </c>
      <c r="CDS6" s="2888" t="s">
        <v>3241</v>
      </c>
      <c r="CDT6" s="2888" t="s">
        <v>3241</v>
      </c>
      <c r="CDU6" s="2888" t="s">
        <v>3241</v>
      </c>
      <c r="CDV6" s="2888" t="s">
        <v>3241</v>
      </c>
      <c r="CDW6" s="2888" t="s">
        <v>3241</v>
      </c>
      <c r="CDX6" s="2888" t="s">
        <v>3241</v>
      </c>
      <c r="CDY6" s="2888" t="s">
        <v>3241</v>
      </c>
      <c r="CDZ6" s="2888" t="s">
        <v>3241</v>
      </c>
      <c r="CEA6" s="2888" t="s">
        <v>3241</v>
      </c>
      <c r="CEB6" s="2888" t="s">
        <v>3241</v>
      </c>
      <c r="CEC6" s="2888" t="s">
        <v>3241</v>
      </c>
      <c r="CED6" s="2888" t="s">
        <v>3241</v>
      </c>
      <c r="CEE6" s="2888" t="s">
        <v>3241</v>
      </c>
      <c r="CEF6" s="2888" t="s">
        <v>3241</v>
      </c>
      <c r="CEG6" s="2888" t="s">
        <v>3241</v>
      </c>
      <c r="CEH6" s="2888" t="s">
        <v>3241</v>
      </c>
      <c r="CEI6" s="2888" t="s">
        <v>3241</v>
      </c>
      <c r="CEJ6" s="2888" t="s">
        <v>3241</v>
      </c>
      <c r="CEK6" s="2888" t="s">
        <v>3241</v>
      </c>
      <c r="CEL6" s="2888" t="s">
        <v>3241</v>
      </c>
      <c r="CEM6" s="2888" t="s">
        <v>3241</v>
      </c>
      <c r="CEN6" s="2888" t="s">
        <v>3241</v>
      </c>
      <c r="CEO6" s="2888" t="s">
        <v>3241</v>
      </c>
      <c r="CEP6" s="2888" t="s">
        <v>3241</v>
      </c>
      <c r="CEQ6" s="2888" t="s">
        <v>3241</v>
      </c>
      <c r="CER6" s="2888" t="s">
        <v>3241</v>
      </c>
      <c r="CES6" s="2888" t="s">
        <v>3241</v>
      </c>
      <c r="CET6" s="2888" t="s">
        <v>3241</v>
      </c>
      <c r="CEU6" s="2888" t="s">
        <v>3241</v>
      </c>
      <c r="CEV6" s="2888" t="s">
        <v>3241</v>
      </c>
      <c r="CEW6" s="2888" t="s">
        <v>3241</v>
      </c>
      <c r="CEX6" s="2888" t="s">
        <v>3241</v>
      </c>
      <c r="CEY6" s="2888" t="s">
        <v>3241</v>
      </c>
      <c r="CEZ6" s="2888" t="s">
        <v>3241</v>
      </c>
      <c r="CFA6" s="2888" t="s">
        <v>3241</v>
      </c>
      <c r="CFB6" s="2888" t="s">
        <v>3241</v>
      </c>
      <c r="CFC6" s="2888" t="s">
        <v>3241</v>
      </c>
      <c r="CFD6" s="2888" t="s">
        <v>3241</v>
      </c>
      <c r="CFE6" s="2888" t="s">
        <v>3241</v>
      </c>
      <c r="CFF6" s="2888" t="s">
        <v>3241</v>
      </c>
      <c r="CFG6" s="2888" t="s">
        <v>3241</v>
      </c>
      <c r="CFH6" s="2888" t="s">
        <v>3241</v>
      </c>
      <c r="CFI6" s="2888" t="s">
        <v>3241</v>
      </c>
      <c r="CFJ6" s="2888" t="s">
        <v>3241</v>
      </c>
      <c r="CFK6" s="2888" t="s">
        <v>3241</v>
      </c>
      <c r="CFL6" s="2888" t="s">
        <v>3241</v>
      </c>
      <c r="CFM6" s="2888" t="s">
        <v>3241</v>
      </c>
      <c r="CFN6" s="2888" t="s">
        <v>3241</v>
      </c>
      <c r="CFO6" s="2888" t="s">
        <v>3241</v>
      </c>
      <c r="CFP6" s="2888" t="s">
        <v>3241</v>
      </c>
      <c r="CFQ6" s="2888" t="s">
        <v>3241</v>
      </c>
      <c r="CFR6" s="2888" t="s">
        <v>3241</v>
      </c>
      <c r="CFS6" s="2888" t="s">
        <v>3241</v>
      </c>
      <c r="CFT6" s="2888" t="s">
        <v>3241</v>
      </c>
      <c r="CFU6" s="2888" t="s">
        <v>3241</v>
      </c>
      <c r="CFV6" s="2888" t="s">
        <v>3241</v>
      </c>
      <c r="CFW6" s="2888" t="s">
        <v>3241</v>
      </c>
      <c r="CFX6" s="2888" t="s">
        <v>3241</v>
      </c>
      <c r="CFY6" s="2888" t="s">
        <v>3241</v>
      </c>
      <c r="CFZ6" s="2888" t="s">
        <v>3241</v>
      </c>
      <c r="CGA6" s="2888" t="s">
        <v>3241</v>
      </c>
      <c r="CGB6" s="2888" t="s">
        <v>3241</v>
      </c>
      <c r="CGC6" s="2888" t="s">
        <v>3241</v>
      </c>
      <c r="CGD6" s="2888" t="s">
        <v>3241</v>
      </c>
      <c r="CGE6" s="2888" t="s">
        <v>3241</v>
      </c>
      <c r="CGF6" s="2888" t="s">
        <v>3241</v>
      </c>
      <c r="CGG6" s="2888" t="s">
        <v>3241</v>
      </c>
      <c r="CGH6" s="2888" t="s">
        <v>3241</v>
      </c>
      <c r="CGI6" s="2888" t="s">
        <v>3241</v>
      </c>
      <c r="CGJ6" s="2888" t="s">
        <v>3241</v>
      </c>
      <c r="CGK6" s="2888" t="s">
        <v>3241</v>
      </c>
      <c r="CGL6" s="2888" t="s">
        <v>3241</v>
      </c>
      <c r="CGM6" s="2888" t="s">
        <v>3241</v>
      </c>
      <c r="CGN6" s="2888" t="s">
        <v>3241</v>
      </c>
      <c r="CGO6" s="2888" t="s">
        <v>3241</v>
      </c>
      <c r="CGP6" s="2888" t="s">
        <v>3241</v>
      </c>
      <c r="CGQ6" s="2888" t="s">
        <v>3241</v>
      </c>
      <c r="CGR6" s="2888" t="s">
        <v>3241</v>
      </c>
      <c r="CGS6" s="2888" t="s">
        <v>3241</v>
      </c>
      <c r="CGT6" s="2888" t="s">
        <v>3241</v>
      </c>
      <c r="CGU6" s="2888" t="s">
        <v>3241</v>
      </c>
      <c r="CGV6" s="2888" t="s">
        <v>3241</v>
      </c>
      <c r="CGW6" s="2888" t="s">
        <v>3241</v>
      </c>
      <c r="CGX6" s="2888" t="s">
        <v>3241</v>
      </c>
      <c r="CGY6" s="2888" t="s">
        <v>3241</v>
      </c>
      <c r="CGZ6" s="2888" t="s">
        <v>3241</v>
      </c>
      <c r="CHA6" s="2888" t="s">
        <v>3241</v>
      </c>
      <c r="CHB6" s="2888" t="s">
        <v>3241</v>
      </c>
      <c r="CHC6" s="2888" t="s">
        <v>3241</v>
      </c>
      <c r="CHD6" s="2888" t="s">
        <v>3241</v>
      </c>
      <c r="CHE6" s="2888" t="s">
        <v>3241</v>
      </c>
      <c r="CHF6" s="2888" t="s">
        <v>3241</v>
      </c>
      <c r="CHG6" s="2888" t="s">
        <v>3241</v>
      </c>
      <c r="CHH6" s="2888" t="s">
        <v>3241</v>
      </c>
      <c r="CHI6" s="2888" t="s">
        <v>3241</v>
      </c>
      <c r="CHJ6" s="2888" t="s">
        <v>3241</v>
      </c>
      <c r="CHK6" s="2888" t="s">
        <v>3241</v>
      </c>
      <c r="CHL6" s="2888" t="s">
        <v>3241</v>
      </c>
      <c r="CHM6" s="2888" t="s">
        <v>3241</v>
      </c>
      <c r="CHN6" s="2888" t="s">
        <v>3241</v>
      </c>
      <c r="CHO6" s="2888" t="s">
        <v>3241</v>
      </c>
      <c r="CHP6" s="2888" t="s">
        <v>3241</v>
      </c>
      <c r="CHQ6" s="2888" t="s">
        <v>3241</v>
      </c>
      <c r="CHR6" s="2888" t="s">
        <v>3241</v>
      </c>
      <c r="CHS6" s="2888" t="s">
        <v>3241</v>
      </c>
      <c r="CHT6" s="2888" t="s">
        <v>3241</v>
      </c>
      <c r="CHU6" s="2888" t="s">
        <v>3241</v>
      </c>
      <c r="CHV6" s="2888" t="s">
        <v>3241</v>
      </c>
      <c r="CHW6" s="2888" t="s">
        <v>3241</v>
      </c>
      <c r="CHX6" s="2888" t="s">
        <v>3241</v>
      </c>
      <c r="CHY6" s="2888" t="s">
        <v>3241</v>
      </c>
      <c r="CHZ6" s="2888" t="s">
        <v>3241</v>
      </c>
      <c r="CIA6" s="2888" t="s">
        <v>3241</v>
      </c>
      <c r="CIB6" s="2888" t="s">
        <v>3241</v>
      </c>
      <c r="CIC6" s="2888" t="s">
        <v>3241</v>
      </c>
      <c r="CID6" s="2888" t="s">
        <v>3241</v>
      </c>
      <c r="CIE6" s="2888" t="s">
        <v>3241</v>
      </c>
      <c r="CIF6" s="2888" t="s">
        <v>3241</v>
      </c>
      <c r="CIG6" s="2888" t="s">
        <v>3241</v>
      </c>
      <c r="CIH6" s="2888" t="s">
        <v>3241</v>
      </c>
      <c r="CII6" s="2888" t="s">
        <v>3241</v>
      </c>
      <c r="CIJ6" s="2888" t="s">
        <v>3241</v>
      </c>
      <c r="CIK6" s="2888" t="s">
        <v>3241</v>
      </c>
      <c r="CIL6" s="2888" t="s">
        <v>3241</v>
      </c>
      <c r="CIM6" s="2888" t="s">
        <v>3241</v>
      </c>
      <c r="CIN6" s="2888" t="s">
        <v>3241</v>
      </c>
      <c r="CIO6" s="2888" t="s">
        <v>3241</v>
      </c>
      <c r="CIP6" s="2888" t="s">
        <v>3241</v>
      </c>
      <c r="CIQ6" s="2888" t="s">
        <v>3241</v>
      </c>
      <c r="CIR6" s="2888" t="s">
        <v>3241</v>
      </c>
      <c r="CIS6" s="2888" t="s">
        <v>3241</v>
      </c>
      <c r="CIT6" s="2888" t="s">
        <v>3241</v>
      </c>
      <c r="CIU6" s="2888" t="s">
        <v>3241</v>
      </c>
      <c r="CIV6" s="2888" t="s">
        <v>3241</v>
      </c>
      <c r="CIW6" s="2888" t="s">
        <v>3241</v>
      </c>
      <c r="CIX6" s="2888" t="s">
        <v>3241</v>
      </c>
      <c r="CIY6" s="2888" t="s">
        <v>3241</v>
      </c>
      <c r="CIZ6" s="2888" t="s">
        <v>3241</v>
      </c>
      <c r="CJA6" s="2888" t="s">
        <v>3241</v>
      </c>
      <c r="CJB6" s="2888" t="s">
        <v>3241</v>
      </c>
      <c r="CJC6" s="2888" t="s">
        <v>3241</v>
      </c>
      <c r="CJD6" s="2888" t="s">
        <v>3241</v>
      </c>
      <c r="CJE6" s="2888" t="s">
        <v>3241</v>
      </c>
      <c r="CJF6" s="2888" t="s">
        <v>3241</v>
      </c>
      <c r="CJG6" s="2888" t="s">
        <v>3241</v>
      </c>
      <c r="CJH6" s="2888" t="s">
        <v>3241</v>
      </c>
      <c r="CJI6" s="2888" t="s">
        <v>3241</v>
      </c>
      <c r="CJJ6" s="2888" t="s">
        <v>3241</v>
      </c>
      <c r="CJK6" s="2888" t="s">
        <v>3241</v>
      </c>
      <c r="CJL6" s="2888" t="s">
        <v>3241</v>
      </c>
      <c r="CJM6" s="2888" t="s">
        <v>3241</v>
      </c>
      <c r="CJN6" s="2888" t="s">
        <v>3241</v>
      </c>
      <c r="CJO6" s="2888" t="s">
        <v>3241</v>
      </c>
      <c r="CJP6" s="2888" t="s">
        <v>3241</v>
      </c>
      <c r="CJQ6" s="2888" t="s">
        <v>3241</v>
      </c>
      <c r="CJR6" s="2888" t="s">
        <v>3241</v>
      </c>
      <c r="CJS6" s="2888" t="s">
        <v>3241</v>
      </c>
      <c r="CJT6" s="2888" t="s">
        <v>3241</v>
      </c>
      <c r="CJU6" s="2888" t="s">
        <v>3241</v>
      </c>
      <c r="CJV6" s="2888" t="s">
        <v>3241</v>
      </c>
      <c r="CJW6" s="2888" t="s">
        <v>3241</v>
      </c>
      <c r="CJX6" s="2888" t="s">
        <v>3241</v>
      </c>
      <c r="CJY6" s="2888" t="s">
        <v>3241</v>
      </c>
      <c r="CJZ6" s="2888" t="s">
        <v>3241</v>
      </c>
      <c r="CKA6" s="2888" t="s">
        <v>3241</v>
      </c>
      <c r="CKB6" s="2888" t="s">
        <v>3241</v>
      </c>
      <c r="CKC6" s="2888" t="s">
        <v>3241</v>
      </c>
      <c r="CKD6" s="2888" t="s">
        <v>3241</v>
      </c>
      <c r="CKE6" s="2888" t="s">
        <v>3241</v>
      </c>
      <c r="CKF6" s="2888" t="s">
        <v>3241</v>
      </c>
      <c r="CKG6" s="2888" t="s">
        <v>3241</v>
      </c>
      <c r="CKH6" s="2888" t="s">
        <v>3241</v>
      </c>
      <c r="CKI6" s="2888" t="s">
        <v>3241</v>
      </c>
      <c r="CKJ6" s="2888" t="s">
        <v>3241</v>
      </c>
      <c r="CKK6" s="2888" t="s">
        <v>3241</v>
      </c>
      <c r="CKL6" s="2888" t="s">
        <v>3241</v>
      </c>
      <c r="CKM6" s="2888" t="s">
        <v>3241</v>
      </c>
      <c r="CKN6" s="2888" t="s">
        <v>3241</v>
      </c>
      <c r="CKO6" s="2888" t="s">
        <v>3241</v>
      </c>
      <c r="CKP6" s="2888" t="s">
        <v>3241</v>
      </c>
      <c r="CKQ6" s="2888" t="s">
        <v>3241</v>
      </c>
      <c r="CKR6" s="2888" t="s">
        <v>3241</v>
      </c>
      <c r="CKS6" s="2888" t="s">
        <v>3241</v>
      </c>
      <c r="CKT6" s="2888" t="s">
        <v>3241</v>
      </c>
      <c r="CKU6" s="2888" t="s">
        <v>3241</v>
      </c>
      <c r="CKV6" s="2888" t="s">
        <v>3241</v>
      </c>
      <c r="CKW6" s="2888" t="s">
        <v>3241</v>
      </c>
      <c r="CKX6" s="2888" t="s">
        <v>3241</v>
      </c>
      <c r="CKY6" s="2888" t="s">
        <v>3241</v>
      </c>
      <c r="CKZ6" s="2888" t="s">
        <v>3241</v>
      </c>
      <c r="CLA6" s="2888" t="s">
        <v>3241</v>
      </c>
      <c r="CLB6" s="2888" t="s">
        <v>3241</v>
      </c>
      <c r="CLC6" s="2888" t="s">
        <v>3241</v>
      </c>
      <c r="CLD6" s="2888" t="s">
        <v>3241</v>
      </c>
      <c r="CLE6" s="2888" t="s">
        <v>3241</v>
      </c>
      <c r="CLF6" s="2888" t="s">
        <v>3241</v>
      </c>
      <c r="CLG6" s="2888" t="s">
        <v>3241</v>
      </c>
      <c r="CLH6" s="2888" t="s">
        <v>3241</v>
      </c>
      <c r="CLI6" s="2888" t="s">
        <v>3241</v>
      </c>
      <c r="CLJ6" s="2888" t="s">
        <v>3241</v>
      </c>
      <c r="CLK6" s="2888" t="s">
        <v>3241</v>
      </c>
      <c r="CLL6" s="2888" t="s">
        <v>3241</v>
      </c>
      <c r="CLM6" s="2888" t="s">
        <v>3241</v>
      </c>
      <c r="CLN6" s="2888" t="s">
        <v>3241</v>
      </c>
      <c r="CLO6" s="2888" t="s">
        <v>3241</v>
      </c>
      <c r="CLP6" s="2888" t="s">
        <v>3241</v>
      </c>
      <c r="CLQ6" s="2888" t="s">
        <v>3241</v>
      </c>
      <c r="CLR6" s="2888" t="s">
        <v>3241</v>
      </c>
      <c r="CLS6" s="2888" t="s">
        <v>3241</v>
      </c>
      <c r="CLT6" s="2888" t="s">
        <v>3241</v>
      </c>
      <c r="CLU6" s="2888" t="s">
        <v>3241</v>
      </c>
      <c r="CLV6" s="2888" t="s">
        <v>3241</v>
      </c>
      <c r="CLW6" s="2888" t="s">
        <v>3241</v>
      </c>
      <c r="CLX6" s="2888" t="s">
        <v>3241</v>
      </c>
      <c r="CLY6" s="2888" t="s">
        <v>3241</v>
      </c>
      <c r="CLZ6" s="2888" t="s">
        <v>3241</v>
      </c>
      <c r="CMA6" s="2888" t="s">
        <v>3241</v>
      </c>
      <c r="CMB6" s="2888" t="s">
        <v>3241</v>
      </c>
      <c r="CMC6" s="2888" t="s">
        <v>3241</v>
      </c>
      <c r="CMD6" s="2888" t="s">
        <v>3241</v>
      </c>
      <c r="CME6" s="2888" t="s">
        <v>3241</v>
      </c>
      <c r="CMF6" s="2888" t="s">
        <v>3241</v>
      </c>
      <c r="CMG6" s="2888" t="s">
        <v>3241</v>
      </c>
      <c r="CMH6" s="2888" t="s">
        <v>3241</v>
      </c>
      <c r="CMI6" s="2888" t="s">
        <v>3241</v>
      </c>
      <c r="CMJ6" s="2888" t="s">
        <v>3241</v>
      </c>
      <c r="CMK6" s="2888" t="s">
        <v>3241</v>
      </c>
      <c r="CML6" s="2888" t="s">
        <v>3241</v>
      </c>
      <c r="CMM6" s="2888" t="s">
        <v>3241</v>
      </c>
      <c r="CMN6" s="2888" t="s">
        <v>3241</v>
      </c>
      <c r="CMO6" s="2888" t="s">
        <v>3241</v>
      </c>
      <c r="CMP6" s="2888" t="s">
        <v>3241</v>
      </c>
      <c r="CMQ6" s="2888" t="s">
        <v>3241</v>
      </c>
      <c r="CMR6" s="2888" t="s">
        <v>3241</v>
      </c>
      <c r="CMS6" s="2888" t="s">
        <v>3241</v>
      </c>
      <c r="CMT6" s="2888" t="s">
        <v>3241</v>
      </c>
      <c r="CMU6" s="2888" t="s">
        <v>3241</v>
      </c>
      <c r="CMV6" s="2888" t="s">
        <v>3241</v>
      </c>
      <c r="CMW6" s="2888" t="s">
        <v>3241</v>
      </c>
      <c r="CMX6" s="2888" t="s">
        <v>3241</v>
      </c>
      <c r="CMY6" s="2888" t="s">
        <v>3241</v>
      </c>
      <c r="CMZ6" s="2888" t="s">
        <v>3241</v>
      </c>
      <c r="CNA6" s="2888" t="s">
        <v>3241</v>
      </c>
      <c r="CNB6" s="2888" t="s">
        <v>3241</v>
      </c>
      <c r="CNC6" s="2888" t="s">
        <v>3241</v>
      </c>
      <c r="CND6" s="2888" t="s">
        <v>3241</v>
      </c>
      <c r="CNE6" s="2888" t="s">
        <v>3241</v>
      </c>
      <c r="CNF6" s="2888" t="s">
        <v>3241</v>
      </c>
      <c r="CNG6" s="2888" t="s">
        <v>3241</v>
      </c>
      <c r="CNH6" s="2888" t="s">
        <v>3241</v>
      </c>
      <c r="CNI6" s="2888" t="s">
        <v>3241</v>
      </c>
      <c r="CNJ6" s="2888" t="s">
        <v>3241</v>
      </c>
      <c r="CNK6" s="2888" t="s">
        <v>3241</v>
      </c>
      <c r="CNL6" s="2888" t="s">
        <v>3241</v>
      </c>
      <c r="CNM6" s="2888" t="s">
        <v>3241</v>
      </c>
      <c r="CNN6" s="2888" t="s">
        <v>3241</v>
      </c>
      <c r="CNO6" s="2888" t="s">
        <v>3241</v>
      </c>
      <c r="CNP6" s="2888" t="s">
        <v>3241</v>
      </c>
      <c r="CNQ6" s="2888" t="s">
        <v>3241</v>
      </c>
      <c r="CNR6" s="2888" t="s">
        <v>3241</v>
      </c>
      <c r="CNS6" s="2888" t="s">
        <v>3241</v>
      </c>
      <c r="CNT6" s="2888" t="s">
        <v>3241</v>
      </c>
      <c r="CNU6" s="2888" t="s">
        <v>3241</v>
      </c>
      <c r="CNV6" s="2888" t="s">
        <v>3241</v>
      </c>
      <c r="CNW6" s="2888" t="s">
        <v>3241</v>
      </c>
      <c r="CNX6" s="2888" t="s">
        <v>3241</v>
      </c>
      <c r="CNY6" s="2888" t="s">
        <v>3241</v>
      </c>
      <c r="CNZ6" s="2888" t="s">
        <v>3241</v>
      </c>
      <c r="COA6" s="2888" t="s">
        <v>3241</v>
      </c>
      <c r="COB6" s="2888" t="s">
        <v>3241</v>
      </c>
      <c r="COC6" s="2888" t="s">
        <v>3241</v>
      </c>
      <c r="COD6" s="2888" t="s">
        <v>3241</v>
      </c>
      <c r="COE6" s="2888" t="s">
        <v>3241</v>
      </c>
      <c r="COF6" s="2888" t="s">
        <v>3241</v>
      </c>
      <c r="COG6" s="2888" t="s">
        <v>3241</v>
      </c>
      <c r="COH6" s="2888" t="s">
        <v>3241</v>
      </c>
      <c r="COI6" s="2888" t="s">
        <v>3241</v>
      </c>
      <c r="COJ6" s="2888" t="s">
        <v>3241</v>
      </c>
      <c r="COK6" s="2888" t="s">
        <v>3241</v>
      </c>
      <c r="COL6" s="2888" t="s">
        <v>3241</v>
      </c>
      <c r="COM6" s="2888" t="s">
        <v>3241</v>
      </c>
      <c r="CON6" s="2888" t="s">
        <v>3241</v>
      </c>
      <c r="COO6" s="2888" t="s">
        <v>3241</v>
      </c>
      <c r="COP6" s="2888" t="s">
        <v>3241</v>
      </c>
      <c r="COQ6" s="2888" t="s">
        <v>3241</v>
      </c>
      <c r="COR6" s="2888" t="s">
        <v>3241</v>
      </c>
      <c r="COS6" s="2888" t="s">
        <v>3241</v>
      </c>
      <c r="COT6" s="2888" t="s">
        <v>3241</v>
      </c>
      <c r="COU6" s="2888" t="s">
        <v>3241</v>
      </c>
      <c r="COV6" s="2888" t="s">
        <v>3241</v>
      </c>
      <c r="COW6" s="2888" t="s">
        <v>3241</v>
      </c>
      <c r="COX6" s="2888" t="s">
        <v>3241</v>
      </c>
      <c r="COY6" s="2888" t="s">
        <v>3241</v>
      </c>
      <c r="COZ6" s="2888" t="s">
        <v>3241</v>
      </c>
      <c r="CPA6" s="2888" t="s">
        <v>3241</v>
      </c>
      <c r="CPB6" s="2888" t="s">
        <v>3241</v>
      </c>
      <c r="CPC6" s="2888" t="s">
        <v>3241</v>
      </c>
      <c r="CPD6" s="2888" t="s">
        <v>3241</v>
      </c>
      <c r="CPE6" s="2888" t="s">
        <v>3241</v>
      </c>
      <c r="CPF6" s="2888" t="s">
        <v>3241</v>
      </c>
      <c r="CPG6" s="2888" t="s">
        <v>3241</v>
      </c>
      <c r="CPH6" s="2888" t="s">
        <v>3241</v>
      </c>
      <c r="CPI6" s="2888" t="s">
        <v>3241</v>
      </c>
      <c r="CPJ6" s="2888" t="s">
        <v>3241</v>
      </c>
      <c r="CPK6" s="2888" t="s">
        <v>3241</v>
      </c>
      <c r="CPL6" s="2888" t="s">
        <v>3241</v>
      </c>
      <c r="CPM6" s="2888" t="s">
        <v>3241</v>
      </c>
      <c r="CPN6" s="2888" t="s">
        <v>3241</v>
      </c>
      <c r="CPO6" s="2888" t="s">
        <v>3241</v>
      </c>
      <c r="CPP6" s="2888" t="s">
        <v>3241</v>
      </c>
      <c r="CPQ6" s="2888" t="s">
        <v>3241</v>
      </c>
      <c r="CPR6" s="2888" t="s">
        <v>3241</v>
      </c>
      <c r="CPS6" s="2888" t="s">
        <v>3241</v>
      </c>
      <c r="CPT6" s="2888" t="s">
        <v>3241</v>
      </c>
      <c r="CPU6" s="2888" t="s">
        <v>3241</v>
      </c>
      <c r="CPV6" s="2888" t="s">
        <v>3241</v>
      </c>
      <c r="CPW6" s="2888" t="s">
        <v>3241</v>
      </c>
      <c r="CPX6" s="2888" t="s">
        <v>3241</v>
      </c>
      <c r="CPY6" s="2888" t="s">
        <v>3241</v>
      </c>
      <c r="CPZ6" s="2888" t="s">
        <v>3241</v>
      </c>
      <c r="CQA6" s="2888" t="s">
        <v>3241</v>
      </c>
      <c r="CQB6" s="2888" t="s">
        <v>3241</v>
      </c>
      <c r="CQC6" s="2888" t="s">
        <v>3241</v>
      </c>
      <c r="CQD6" s="2888" t="s">
        <v>3241</v>
      </c>
      <c r="CQE6" s="2888" t="s">
        <v>3241</v>
      </c>
      <c r="CQF6" s="2888" t="s">
        <v>3241</v>
      </c>
      <c r="CQG6" s="2888" t="s">
        <v>3241</v>
      </c>
      <c r="CQH6" s="2888" t="s">
        <v>3241</v>
      </c>
      <c r="CQI6" s="2888" t="s">
        <v>3241</v>
      </c>
      <c r="CQJ6" s="2888" t="s">
        <v>3241</v>
      </c>
      <c r="CQK6" s="2888" t="s">
        <v>3241</v>
      </c>
      <c r="CQL6" s="2888" t="s">
        <v>3241</v>
      </c>
      <c r="CQM6" s="2888" t="s">
        <v>3241</v>
      </c>
      <c r="CQN6" s="2888" t="s">
        <v>3241</v>
      </c>
      <c r="CQO6" s="2888" t="s">
        <v>3241</v>
      </c>
      <c r="CQP6" s="2888" t="s">
        <v>3241</v>
      </c>
      <c r="CQQ6" s="2888" t="s">
        <v>3241</v>
      </c>
      <c r="CQR6" s="2888" t="s">
        <v>3241</v>
      </c>
      <c r="CQS6" s="2888" t="s">
        <v>3241</v>
      </c>
      <c r="CQT6" s="2888" t="s">
        <v>3241</v>
      </c>
      <c r="CQU6" s="2888" t="s">
        <v>3241</v>
      </c>
      <c r="CQV6" s="2888" t="s">
        <v>3241</v>
      </c>
      <c r="CQW6" s="2888" t="s">
        <v>3241</v>
      </c>
      <c r="CQX6" s="2888" t="s">
        <v>3241</v>
      </c>
      <c r="CQY6" s="2888" t="s">
        <v>3241</v>
      </c>
      <c r="CQZ6" s="2888" t="s">
        <v>3241</v>
      </c>
      <c r="CRA6" s="2888" t="s">
        <v>3241</v>
      </c>
      <c r="CRB6" s="2888" t="s">
        <v>3241</v>
      </c>
      <c r="CRC6" s="2888" t="s">
        <v>3241</v>
      </c>
      <c r="CRD6" s="2888" t="s">
        <v>3241</v>
      </c>
      <c r="CRE6" s="2888" t="s">
        <v>3241</v>
      </c>
      <c r="CRF6" s="2888" t="s">
        <v>3241</v>
      </c>
      <c r="CRG6" s="2888" t="s">
        <v>3241</v>
      </c>
      <c r="CRH6" s="2888" t="s">
        <v>3241</v>
      </c>
      <c r="CRI6" s="2888" t="s">
        <v>3241</v>
      </c>
      <c r="CRJ6" s="2888" t="s">
        <v>3241</v>
      </c>
      <c r="CRK6" s="2888" t="s">
        <v>3241</v>
      </c>
      <c r="CRL6" s="2888" t="s">
        <v>3241</v>
      </c>
      <c r="CRM6" s="2888" t="s">
        <v>3241</v>
      </c>
      <c r="CRN6" s="2888" t="s">
        <v>3241</v>
      </c>
      <c r="CRO6" s="2888" t="s">
        <v>3241</v>
      </c>
      <c r="CRP6" s="2888" t="s">
        <v>3241</v>
      </c>
      <c r="CRQ6" s="2888" t="s">
        <v>3241</v>
      </c>
      <c r="CRR6" s="2888" t="s">
        <v>3241</v>
      </c>
      <c r="CRS6" s="2888" t="s">
        <v>3241</v>
      </c>
      <c r="CRT6" s="2888" t="s">
        <v>3241</v>
      </c>
      <c r="CRU6" s="2888" t="s">
        <v>3241</v>
      </c>
      <c r="CRV6" s="2888" t="s">
        <v>3241</v>
      </c>
      <c r="CRW6" s="2888" t="s">
        <v>3241</v>
      </c>
      <c r="CRX6" s="2888" t="s">
        <v>3241</v>
      </c>
      <c r="CRY6" s="2888" t="s">
        <v>3241</v>
      </c>
      <c r="CRZ6" s="2888" t="s">
        <v>3241</v>
      </c>
      <c r="CSA6" s="2888" t="s">
        <v>3241</v>
      </c>
      <c r="CSB6" s="2888" t="s">
        <v>3241</v>
      </c>
      <c r="CSC6" s="2888" t="s">
        <v>3241</v>
      </c>
      <c r="CSD6" s="2888" t="s">
        <v>3241</v>
      </c>
      <c r="CSE6" s="2888" t="s">
        <v>3241</v>
      </c>
      <c r="CSF6" s="2888" t="s">
        <v>3241</v>
      </c>
      <c r="CSG6" s="2888" t="s">
        <v>3241</v>
      </c>
      <c r="CSH6" s="2888" t="s">
        <v>3241</v>
      </c>
      <c r="CSI6" s="2888" t="s">
        <v>3241</v>
      </c>
      <c r="CSJ6" s="2888" t="s">
        <v>3241</v>
      </c>
      <c r="CSK6" s="2888" t="s">
        <v>3241</v>
      </c>
      <c r="CSL6" s="2888" t="s">
        <v>3241</v>
      </c>
      <c r="CSM6" s="2888" t="s">
        <v>3241</v>
      </c>
      <c r="CSN6" s="2888" t="s">
        <v>3241</v>
      </c>
      <c r="CSO6" s="2888" t="s">
        <v>3241</v>
      </c>
      <c r="CSP6" s="2888" t="s">
        <v>3241</v>
      </c>
      <c r="CSQ6" s="2888" t="s">
        <v>3241</v>
      </c>
      <c r="CSR6" s="2888" t="s">
        <v>3241</v>
      </c>
      <c r="CSS6" s="2888" t="s">
        <v>3241</v>
      </c>
      <c r="CST6" s="2888" t="s">
        <v>3241</v>
      </c>
      <c r="CSU6" s="2888" t="s">
        <v>3241</v>
      </c>
      <c r="CSV6" s="2888" t="s">
        <v>3241</v>
      </c>
      <c r="CSW6" s="2888" t="s">
        <v>3241</v>
      </c>
      <c r="CSX6" s="2888" t="s">
        <v>3241</v>
      </c>
      <c r="CSY6" s="2888" t="s">
        <v>3241</v>
      </c>
      <c r="CSZ6" s="2888" t="s">
        <v>3241</v>
      </c>
      <c r="CTA6" s="2888" t="s">
        <v>3241</v>
      </c>
      <c r="CTB6" s="2888" t="s">
        <v>3241</v>
      </c>
      <c r="CTC6" s="2888" t="s">
        <v>3241</v>
      </c>
      <c r="CTD6" s="2888" t="s">
        <v>3241</v>
      </c>
      <c r="CTE6" s="2888" t="s">
        <v>3241</v>
      </c>
      <c r="CTF6" s="2888" t="s">
        <v>3241</v>
      </c>
      <c r="CTG6" s="2888" t="s">
        <v>3241</v>
      </c>
      <c r="CTH6" s="2888" t="s">
        <v>3241</v>
      </c>
      <c r="CTI6" s="2888" t="s">
        <v>3241</v>
      </c>
      <c r="CTJ6" s="2888" t="s">
        <v>3241</v>
      </c>
      <c r="CTK6" s="2888" t="s">
        <v>3241</v>
      </c>
      <c r="CTL6" s="2888" t="s">
        <v>3241</v>
      </c>
      <c r="CTM6" s="2888" t="s">
        <v>3241</v>
      </c>
      <c r="CTN6" s="2888" t="s">
        <v>3241</v>
      </c>
      <c r="CTO6" s="2888" t="s">
        <v>3241</v>
      </c>
      <c r="CTP6" s="2888" t="s">
        <v>3241</v>
      </c>
      <c r="CTQ6" s="2888" t="s">
        <v>3241</v>
      </c>
      <c r="CTR6" s="2888" t="s">
        <v>3241</v>
      </c>
      <c r="CTS6" s="2888" t="s">
        <v>3241</v>
      </c>
      <c r="CTT6" s="2888" t="s">
        <v>3241</v>
      </c>
      <c r="CTU6" s="2888" t="s">
        <v>3241</v>
      </c>
      <c r="CTV6" s="2888" t="s">
        <v>3241</v>
      </c>
      <c r="CTW6" s="2888" t="s">
        <v>3241</v>
      </c>
      <c r="CTX6" s="2888" t="s">
        <v>3241</v>
      </c>
      <c r="CTY6" s="2888" t="s">
        <v>3241</v>
      </c>
      <c r="CTZ6" s="2888" t="s">
        <v>3241</v>
      </c>
      <c r="CUA6" s="2888" t="s">
        <v>3241</v>
      </c>
      <c r="CUB6" s="2888" t="s">
        <v>3241</v>
      </c>
      <c r="CUC6" s="2888" t="s">
        <v>3241</v>
      </c>
      <c r="CUD6" s="2888" t="s">
        <v>3241</v>
      </c>
      <c r="CUE6" s="2888" t="s">
        <v>3241</v>
      </c>
      <c r="CUF6" s="2888" t="s">
        <v>3241</v>
      </c>
      <c r="CUG6" s="2888" t="s">
        <v>3241</v>
      </c>
      <c r="CUH6" s="2888" t="s">
        <v>3241</v>
      </c>
      <c r="CUI6" s="2888" t="s">
        <v>3241</v>
      </c>
      <c r="CUJ6" s="2888" t="s">
        <v>3241</v>
      </c>
      <c r="CUK6" s="2888" t="s">
        <v>3241</v>
      </c>
      <c r="CUL6" s="2888" t="s">
        <v>3241</v>
      </c>
      <c r="CUM6" s="2888" t="s">
        <v>3241</v>
      </c>
      <c r="CUN6" s="2888" t="s">
        <v>3241</v>
      </c>
      <c r="CUO6" s="2888" t="s">
        <v>3241</v>
      </c>
      <c r="CUP6" s="2888" t="s">
        <v>3241</v>
      </c>
      <c r="CUQ6" s="2888" t="s">
        <v>3241</v>
      </c>
      <c r="CUR6" s="2888" t="s">
        <v>3241</v>
      </c>
      <c r="CUS6" s="2888" t="s">
        <v>3241</v>
      </c>
      <c r="CUT6" s="2888" t="s">
        <v>3241</v>
      </c>
      <c r="CUU6" s="2888" t="s">
        <v>3241</v>
      </c>
      <c r="CUV6" s="2888" t="s">
        <v>3241</v>
      </c>
      <c r="CUW6" s="2888" t="s">
        <v>3241</v>
      </c>
      <c r="CUX6" s="2888" t="s">
        <v>3241</v>
      </c>
      <c r="CUY6" s="2888" t="s">
        <v>3241</v>
      </c>
      <c r="CUZ6" s="2888" t="s">
        <v>3241</v>
      </c>
      <c r="CVA6" s="2888" t="s">
        <v>3241</v>
      </c>
      <c r="CVB6" s="2888" t="s">
        <v>3241</v>
      </c>
      <c r="CVC6" s="2888" t="s">
        <v>3241</v>
      </c>
      <c r="CVD6" s="2888" t="s">
        <v>3241</v>
      </c>
      <c r="CVE6" s="2888" t="s">
        <v>3241</v>
      </c>
      <c r="CVF6" s="2888" t="s">
        <v>3241</v>
      </c>
      <c r="CVG6" s="2888" t="s">
        <v>3241</v>
      </c>
      <c r="CVH6" s="2888" t="s">
        <v>3241</v>
      </c>
      <c r="CVI6" s="2888" t="s">
        <v>3241</v>
      </c>
      <c r="CVJ6" s="2888" t="s">
        <v>3241</v>
      </c>
      <c r="CVK6" s="2888" t="s">
        <v>3241</v>
      </c>
      <c r="CVL6" s="2888" t="s">
        <v>3241</v>
      </c>
      <c r="CVM6" s="2888" t="s">
        <v>3241</v>
      </c>
      <c r="CVN6" s="2888" t="s">
        <v>3241</v>
      </c>
      <c r="CVO6" s="2888" t="s">
        <v>3241</v>
      </c>
      <c r="CVP6" s="2888" t="s">
        <v>3241</v>
      </c>
      <c r="CVQ6" s="2888" t="s">
        <v>3241</v>
      </c>
      <c r="CVR6" s="2888" t="s">
        <v>3241</v>
      </c>
      <c r="CVS6" s="2888" t="s">
        <v>3241</v>
      </c>
      <c r="CVT6" s="2888" t="s">
        <v>3241</v>
      </c>
      <c r="CVU6" s="2888" t="s">
        <v>3241</v>
      </c>
      <c r="CVV6" s="2888" t="s">
        <v>3241</v>
      </c>
      <c r="CVW6" s="2888" t="s">
        <v>3241</v>
      </c>
      <c r="CVX6" s="2888" t="s">
        <v>3241</v>
      </c>
      <c r="CVY6" s="2888" t="s">
        <v>3241</v>
      </c>
      <c r="CVZ6" s="2888" t="s">
        <v>3241</v>
      </c>
      <c r="CWA6" s="2888" t="s">
        <v>3241</v>
      </c>
      <c r="CWB6" s="2888" t="s">
        <v>3241</v>
      </c>
      <c r="CWC6" s="2888" t="s">
        <v>3241</v>
      </c>
      <c r="CWD6" s="2888" t="s">
        <v>3241</v>
      </c>
      <c r="CWE6" s="2888" t="s">
        <v>3241</v>
      </c>
      <c r="CWF6" s="2888" t="s">
        <v>3241</v>
      </c>
      <c r="CWG6" s="2888" t="s">
        <v>3241</v>
      </c>
      <c r="CWH6" s="2888" t="s">
        <v>3241</v>
      </c>
      <c r="CWI6" s="2888" t="s">
        <v>3241</v>
      </c>
      <c r="CWJ6" s="2888" t="s">
        <v>3241</v>
      </c>
      <c r="CWK6" s="2888" t="s">
        <v>3241</v>
      </c>
      <c r="CWL6" s="2888" t="s">
        <v>3241</v>
      </c>
      <c r="CWM6" s="2888" t="s">
        <v>3241</v>
      </c>
      <c r="CWN6" s="2888" t="s">
        <v>3241</v>
      </c>
      <c r="CWO6" s="2888" t="s">
        <v>3241</v>
      </c>
      <c r="CWP6" s="2888" t="s">
        <v>3241</v>
      </c>
      <c r="CWQ6" s="2888" t="s">
        <v>3241</v>
      </c>
      <c r="CWR6" s="2888" t="s">
        <v>3241</v>
      </c>
      <c r="CWS6" s="2888" t="s">
        <v>3241</v>
      </c>
      <c r="CWT6" s="2888" t="s">
        <v>3241</v>
      </c>
      <c r="CWU6" s="2888" t="s">
        <v>3241</v>
      </c>
      <c r="CWV6" s="2888" t="s">
        <v>3241</v>
      </c>
      <c r="CWW6" s="2888" t="s">
        <v>3241</v>
      </c>
      <c r="CWX6" s="2888" t="s">
        <v>3241</v>
      </c>
      <c r="CWY6" s="2888" t="s">
        <v>3241</v>
      </c>
      <c r="CWZ6" s="2888" t="s">
        <v>3241</v>
      </c>
      <c r="CXA6" s="2888" t="s">
        <v>3241</v>
      </c>
      <c r="CXB6" s="2888" t="s">
        <v>3241</v>
      </c>
      <c r="CXC6" s="2888" t="s">
        <v>3241</v>
      </c>
      <c r="CXD6" s="2888" t="s">
        <v>3241</v>
      </c>
      <c r="CXE6" s="2888" t="s">
        <v>3241</v>
      </c>
      <c r="CXF6" s="2888" t="s">
        <v>3241</v>
      </c>
      <c r="CXG6" s="2888" t="s">
        <v>3241</v>
      </c>
      <c r="CXH6" s="2888" t="s">
        <v>3241</v>
      </c>
      <c r="CXI6" s="2888" t="s">
        <v>3241</v>
      </c>
      <c r="CXJ6" s="2888" t="s">
        <v>3241</v>
      </c>
      <c r="CXK6" s="2888" t="s">
        <v>3241</v>
      </c>
      <c r="CXL6" s="2888" t="s">
        <v>3241</v>
      </c>
      <c r="CXM6" s="2888" t="s">
        <v>3241</v>
      </c>
      <c r="CXN6" s="2888" t="s">
        <v>3241</v>
      </c>
      <c r="CXO6" s="2888" t="s">
        <v>3241</v>
      </c>
      <c r="CXP6" s="2888" t="s">
        <v>3241</v>
      </c>
      <c r="CXQ6" s="2888" t="s">
        <v>3241</v>
      </c>
      <c r="CXR6" s="2888" t="s">
        <v>3241</v>
      </c>
      <c r="CXS6" s="2888" t="s">
        <v>3241</v>
      </c>
      <c r="CXT6" s="2888" t="s">
        <v>3241</v>
      </c>
      <c r="CXU6" s="2888" t="s">
        <v>3241</v>
      </c>
      <c r="CXV6" s="2888" t="s">
        <v>3241</v>
      </c>
      <c r="CXW6" s="2888" t="s">
        <v>3241</v>
      </c>
      <c r="CXX6" s="2888" t="s">
        <v>3241</v>
      </c>
      <c r="CXY6" s="2888" t="s">
        <v>3241</v>
      </c>
      <c r="CXZ6" s="2888" t="s">
        <v>3241</v>
      </c>
      <c r="CYA6" s="2888" t="s">
        <v>3241</v>
      </c>
      <c r="CYB6" s="2888" t="s">
        <v>3241</v>
      </c>
      <c r="CYC6" s="2888" t="s">
        <v>3241</v>
      </c>
      <c r="CYD6" s="2888" t="s">
        <v>3241</v>
      </c>
      <c r="CYE6" s="2888" t="s">
        <v>3241</v>
      </c>
      <c r="CYF6" s="2888" t="s">
        <v>3241</v>
      </c>
      <c r="CYG6" s="2888" t="s">
        <v>3241</v>
      </c>
      <c r="CYH6" s="2888" t="s">
        <v>3241</v>
      </c>
      <c r="CYI6" s="2888" t="s">
        <v>3241</v>
      </c>
      <c r="CYJ6" s="2888" t="s">
        <v>3241</v>
      </c>
      <c r="CYK6" s="2888" t="s">
        <v>3241</v>
      </c>
      <c r="CYL6" s="2888" t="s">
        <v>3241</v>
      </c>
      <c r="CYM6" s="2888" t="s">
        <v>3241</v>
      </c>
      <c r="CYN6" s="2888" t="s">
        <v>3241</v>
      </c>
      <c r="CYO6" s="2888" t="s">
        <v>3241</v>
      </c>
      <c r="CYP6" s="2888" t="s">
        <v>3241</v>
      </c>
      <c r="CYQ6" s="2888" t="s">
        <v>3241</v>
      </c>
      <c r="CYR6" s="2888" t="s">
        <v>3241</v>
      </c>
      <c r="CYS6" s="2888" t="s">
        <v>3241</v>
      </c>
      <c r="CYT6" s="2888" t="s">
        <v>3241</v>
      </c>
      <c r="CYU6" s="2888" t="s">
        <v>3241</v>
      </c>
      <c r="CYV6" s="2888" t="s">
        <v>3241</v>
      </c>
      <c r="CYW6" s="2888" t="s">
        <v>3241</v>
      </c>
      <c r="CYX6" s="2888" t="s">
        <v>3241</v>
      </c>
      <c r="CYY6" s="2888" t="s">
        <v>3241</v>
      </c>
      <c r="CYZ6" s="2888" t="s">
        <v>3241</v>
      </c>
      <c r="CZA6" s="2888" t="s">
        <v>3241</v>
      </c>
      <c r="CZB6" s="2888" t="s">
        <v>3241</v>
      </c>
      <c r="CZC6" s="2888" t="s">
        <v>3241</v>
      </c>
      <c r="CZD6" s="2888" t="s">
        <v>3241</v>
      </c>
      <c r="CZE6" s="2888" t="s">
        <v>3241</v>
      </c>
      <c r="CZF6" s="2888" t="s">
        <v>3241</v>
      </c>
      <c r="CZG6" s="2888" t="s">
        <v>3241</v>
      </c>
      <c r="CZH6" s="2888" t="s">
        <v>3241</v>
      </c>
      <c r="CZI6" s="2888" t="s">
        <v>3241</v>
      </c>
      <c r="CZJ6" s="2888" t="s">
        <v>3241</v>
      </c>
      <c r="CZK6" s="2888" t="s">
        <v>3241</v>
      </c>
      <c r="CZL6" s="2888" t="s">
        <v>3241</v>
      </c>
      <c r="CZM6" s="2888" t="s">
        <v>3241</v>
      </c>
      <c r="CZN6" s="2888" t="s">
        <v>3241</v>
      </c>
      <c r="CZO6" s="2888" t="s">
        <v>3241</v>
      </c>
      <c r="CZP6" s="2888" t="s">
        <v>3241</v>
      </c>
      <c r="CZQ6" s="2888" t="s">
        <v>3241</v>
      </c>
      <c r="CZR6" s="2888" t="s">
        <v>3241</v>
      </c>
      <c r="CZS6" s="2888" t="s">
        <v>3241</v>
      </c>
      <c r="CZT6" s="2888" t="s">
        <v>3241</v>
      </c>
      <c r="CZU6" s="2888" t="s">
        <v>3241</v>
      </c>
      <c r="CZV6" s="2888" t="s">
        <v>3241</v>
      </c>
      <c r="CZW6" s="2888" t="s">
        <v>3241</v>
      </c>
      <c r="CZX6" s="2888" t="s">
        <v>3241</v>
      </c>
      <c r="CZY6" s="2888" t="s">
        <v>3241</v>
      </c>
      <c r="CZZ6" s="2888" t="s">
        <v>3241</v>
      </c>
      <c r="DAA6" s="2888" t="s">
        <v>3241</v>
      </c>
      <c r="DAB6" s="2888" t="s">
        <v>3241</v>
      </c>
      <c r="DAC6" s="2888" t="s">
        <v>3241</v>
      </c>
      <c r="DAD6" s="2888" t="s">
        <v>3241</v>
      </c>
      <c r="DAE6" s="2888" t="s">
        <v>3241</v>
      </c>
      <c r="DAF6" s="2888" t="s">
        <v>3241</v>
      </c>
      <c r="DAG6" s="2888" t="s">
        <v>3241</v>
      </c>
      <c r="DAH6" s="2888" t="s">
        <v>3241</v>
      </c>
      <c r="DAI6" s="2888" t="s">
        <v>3241</v>
      </c>
      <c r="DAJ6" s="2888" t="s">
        <v>3241</v>
      </c>
      <c r="DAK6" s="2888" t="s">
        <v>3241</v>
      </c>
      <c r="DAL6" s="2888" t="s">
        <v>3241</v>
      </c>
      <c r="DAM6" s="2888" t="s">
        <v>3241</v>
      </c>
      <c r="DAN6" s="2888" t="s">
        <v>3241</v>
      </c>
      <c r="DAO6" s="2888" t="s">
        <v>3241</v>
      </c>
      <c r="DAP6" s="2888" t="s">
        <v>3241</v>
      </c>
      <c r="DAQ6" s="2888" t="s">
        <v>3241</v>
      </c>
      <c r="DAR6" s="2888" t="s">
        <v>3241</v>
      </c>
      <c r="DAS6" s="2888" t="s">
        <v>3241</v>
      </c>
      <c r="DAT6" s="2888" t="s">
        <v>3241</v>
      </c>
      <c r="DAU6" s="2888" t="s">
        <v>3241</v>
      </c>
      <c r="DAV6" s="2888" t="s">
        <v>3241</v>
      </c>
      <c r="DAW6" s="2888" t="s">
        <v>3241</v>
      </c>
      <c r="DAX6" s="2888" t="s">
        <v>3241</v>
      </c>
      <c r="DAY6" s="2888" t="s">
        <v>3241</v>
      </c>
      <c r="DAZ6" s="2888" t="s">
        <v>3241</v>
      </c>
      <c r="DBA6" s="2888" t="s">
        <v>3241</v>
      </c>
      <c r="DBB6" s="2888" t="s">
        <v>3241</v>
      </c>
      <c r="DBC6" s="2888" t="s">
        <v>3241</v>
      </c>
      <c r="DBD6" s="2888" t="s">
        <v>3241</v>
      </c>
      <c r="DBE6" s="2888" t="s">
        <v>3241</v>
      </c>
      <c r="DBF6" s="2888" t="s">
        <v>3241</v>
      </c>
      <c r="DBG6" s="2888" t="s">
        <v>3241</v>
      </c>
      <c r="DBH6" s="2888" t="s">
        <v>3241</v>
      </c>
      <c r="DBI6" s="2888" t="s">
        <v>3241</v>
      </c>
      <c r="DBJ6" s="2888" t="s">
        <v>3241</v>
      </c>
      <c r="DBK6" s="2888" t="s">
        <v>3241</v>
      </c>
      <c r="DBL6" s="2888" t="s">
        <v>3241</v>
      </c>
      <c r="DBM6" s="2888" t="s">
        <v>3241</v>
      </c>
      <c r="DBN6" s="2888" t="s">
        <v>3241</v>
      </c>
      <c r="DBO6" s="2888" t="s">
        <v>3241</v>
      </c>
      <c r="DBP6" s="2888" t="s">
        <v>3241</v>
      </c>
      <c r="DBQ6" s="2888" t="s">
        <v>3241</v>
      </c>
      <c r="DBR6" s="2888" t="s">
        <v>3241</v>
      </c>
      <c r="DBS6" s="2888" t="s">
        <v>3241</v>
      </c>
      <c r="DBT6" s="2888" t="s">
        <v>3241</v>
      </c>
      <c r="DBU6" s="2888" t="s">
        <v>3241</v>
      </c>
      <c r="DBV6" s="2888" t="s">
        <v>3241</v>
      </c>
      <c r="DBW6" s="2888" t="s">
        <v>3241</v>
      </c>
      <c r="DBX6" s="2888" t="s">
        <v>3241</v>
      </c>
      <c r="DBY6" s="2888" t="s">
        <v>3241</v>
      </c>
      <c r="DBZ6" s="2888" t="s">
        <v>3241</v>
      </c>
      <c r="DCA6" s="2888" t="s">
        <v>3241</v>
      </c>
      <c r="DCB6" s="2888" t="s">
        <v>3241</v>
      </c>
      <c r="DCC6" s="2888" t="s">
        <v>3241</v>
      </c>
      <c r="DCD6" s="2888" t="s">
        <v>3241</v>
      </c>
      <c r="DCE6" s="2888" t="s">
        <v>3241</v>
      </c>
      <c r="DCF6" s="2888" t="s">
        <v>3241</v>
      </c>
      <c r="DCG6" s="2888" t="s">
        <v>3241</v>
      </c>
      <c r="DCH6" s="2888" t="s">
        <v>3241</v>
      </c>
      <c r="DCI6" s="2888" t="s">
        <v>3241</v>
      </c>
      <c r="DCJ6" s="2888" t="s">
        <v>3241</v>
      </c>
      <c r="DCK6" s="2888" t="s">
        <v>3241</v>
      </c>
      <c r="DCL6" s="2888" t="s">
        <v>3241</v>
      </c>
      <c r="DCM6" s="2888" t="s">
        <v>3241</v>
      </c>
      <c r="DCN6" s="2888" t="s">
        <v>3241</v>
      </c>
      <c r="DCO6" s="2888" t="s">
        <v>3241</v>
      </c>
      <c r="DCP6" s="2888" t="s">
        <v>3241</v>
      </c>
      <c r="DCQ6" s="2888" t="s">
        <v>3241</v>
      </c>
      <c r="DCR6" s="2888" t="s">
        <v>3241</v>
      </c>
      <c r="DCS6" s="2888" t="s">
        <v>3241</v>
      </c>
      <c r="DCT6" s="2888" t="s">
        <v>3241</v>
      </c>
      <c r="DCU6" s="2888" t="s">
        <v>3241</v>
      </c>
      <c r="DCV6" s="2888" t="s">
        <v>3241</v>
      </c>
      <c r="DCW6" s="2888" t="s">
        <v>3241</v>
      </c>
      <c r="DCX6" s="2888" t="s">
        <v>3241</v>
      </c>
      <c r="DCY6" s="2888" t="s">
        <v>3241</v>
      </c>
      <c r="DCZ6" s="2888" t="s">
        <v>3241</v>
      </c>
      <c r="DDA6" s="2888" t="s">
        <v>3241</v>
      </c>
      <c r="DDB6" s="2888" t="s">
        <v>3241</v>
      </c>
      <c r="DDC6" s="2888" t="s">
        <v>3241</v>
      </c>
      <c r="DDD6" s="2888" t="s">
        <v>3241</v>
      </c>
      <c r="DDE6" s="2888" t="s">
        <v>3241</v>
      </c>
      <c r="DDF6" s="2888" t="s">
        <v>3241</v>
      </c>
      <c r="DDG6" s="2888" t="s">
        <v>3241</v>
      </c>
      <c r="DDH6" s="2888" t="s">
        <v>3241</v>
      </c>
      <c r="DDI6" s="2888" t="s">
        <v>3241</v>
      </c>
      <c r="DDJ6" s="2888" t="s">
        <v>3241</v>
      </c>
      <c r="DDK6" s="2888" t="s">
        <v>3241</v>
      </c>
      <c r="DDL6" s="2888" t="s">
        <v>3241</v>
      </c>
      <c r="DDM6" s="2888" t="s">
        <v>3241</v>
      </c>
      <c r="DDN6" s="2888" t="s">
        <v>3241</v>
      </c>
      <c r="DDO6" s="2888" t="s">
        <v>3241</v>
      </c>
      <c r="DDP6" s="2888" t="s">
        <v>3241</v>
      </c>
      <c r="DDQ6" s="2888" t="s">
        <v>3241</v>
      </c>
      <c r="DDR6" s="2888" t="s">
        <v>3241</v>
      </c>
      <c r="DDS6" s="2888" t="s">
        <v>3241</v>
      </c>
      <c r="DDT6" s="2888" t="s">
        <v>3241</v>
      </c>
      <c r="DDU6" s="2888" t="s">
        <v>3241</v>
      </c>
      <c r="DDV6" s="2888" t="s">
        <v>3241</v>
      </c>
      <c r="DDW6" s="2888" t="s">
        <v>3241</v>
      </c>
      <c r="DDX6" s="2888" t="s">
        <v>3241</v>
      </c>
      <c r="DDY6" s="2888" t="s">
        <v>3241</v>
      </c>
      <c r="DDZ6" s="2888" t="s">
        <v>3241</v>
      </c>
      <c r="DEA6" s="2888" t="s">
        <v>3241</v>
      </c>
      <c r="DEB6" s="2888" t="s">
        <v>3241</v>
      </c>
      <c r="DEC6" s="2888" t="s">
        <v>3241</v>
      </c>
      <c r="DED6" s="2888" t="s">
        <v>3241</v>
      </c>
      <c r="DEE6" s="2888" t="s">
        <v>3241</v>
      </c>
      <c r="DEF6" s="2888" t="s">
        <v>3241</v>
      </c>
      <c r="DEG6" s="2888" t="s">
        <v>3241</v>
      </c>
      <c r="DEH6" s="2888" t="s">
        <v>3241</v>
      </c>
      <c r="DEI6" s="2888" t="s">
        <v>3241</v>
      </c>
      <c r="DEJ6" s="2888" t="s">
        <v>3241</v>
      </c>
      <c r="DEK6" s="2888" t="s">
        <v>3241</v>
      </c>
      <c r="DEL6" s="2888" t="s">
        <v>3241</v>
      </c>
      <c r="DEM6" s="2888" t="s">
        <v>3241</v>
      </c>
      <c r="DEN6" s="2888" t="s">
        <v>3241</v>
      </c>
      <c r="DEO6" s="2888" t="s">
        <v>3241</v>
      </c>
      <c r="DEP6" s="2888" t="s">
        <v>3241</v>
      </c>
      <c r="DEQ6" s="2888" t="s">
        <v>3241</v>
      </c>
      <c r="DER6" s="2888" t="s">
        <v>3241</v>
      </c>
      <c r="DES6" s="2888" t="s">
        <v>3241</v>
      </c>
      <c r="DET6" s="2888" t="s">
        <v>3241</v>
      </c>
      <c r="DEU6" s="2888" t="s">
        <v>3241</v>
      </c>
      <c r="DEV6" s="2888" t="s">
        <v>3241</v>
      </c>
      <c r="DEW6" s="2888" t="s">
        <v>3241</v>
      </c>
      <c r="DEX6" s="2888" t="s">
        <v>3241</v>
      </c>
      <c r="DEY6" s="2888" t="s">
        <v>3241</v>
      </c>
      <c r="DEZ6" s="2888" t="s">
        <v>3241</v>
      </c>
      <c r="DFA6" s="2888" t="s">
        <v>3241</v>
      </c>
      <c r="DFB6" s="2888" t="s">
        <v>3241</v>
      </c>
      <c r="DFC6" s="2888" t="s">
        <v>3241</v>
      </c>
      <c r="DFD6" s="2888" t="s">
        <v>3241</v>
      </c>
      <c r="DFE6" s="2888" t="s">
        <v>3241</v>
      </c>
      <c r="DFF6" s="2888" t="s">
        <v>3241</v>
      </c>
      <c r="DFG6" s="2888" t="s">
        <v>3241</v>
      </c>
      <c r="DFH6" s="2888" t="s">
        <v>3241</v>
      </c>
      <c r="DFI6" s="2888" t="s">
        <v>3241</v>
      </c>
      <c r="DFJ6" s="2888" t="s">
        <v>3241</v>
      </c>
      <c r="DFK6" s="2888" t="s">
        <v>3241</v>
      </c>
      <c r="DFL6" s="2888" t="s">
        <v>3241</v>
      </c>
      <c r="DFM6" s="2888" t="s">
        <v>3241</v>
      </c>
      <c r="DFN6" s="2888" t="s">
        <v>3241</v>
      </c>
      <c r="DFO6" s="2888" t="s">
        <v>3241</v>
      </c>
      <c r="DFP6" s="2888" t="s">
        <v>3241</v>
      </c>
      <c r="DFQ6" s="2888" t="s">
        <v>3241</v>
      </c>
      <c r="DFR6" s="2888" t="s">
        <v>3241</v>
      </c>
      <c r="DFS6" s="2888" t="s">
        <v>3241</v>
      </c>
      <c r="DFT6" s="2888" t="s">
        <v>3241</v>
      </c>
      <c r="DFU6" s="2888" t="s">
        <v>3241</v>
      </c>
      <c r="DFV6" s="2888" t="s">
        <v>3241</v>
      </c>
      <c r="DFW6" s="2888" t="s">
        <v>3241</v>
      </c>
      <c r="DFX6" s="2888" t="s">
        <v>3241</v>
      </c>
      <c r="DFY6" s="2888" t="s">
        <v>3241</v>
      </c>
      <c r="DFZ6" s="2888" t="s">
        <v>3241</v>
      </c>
      <c r="DGA6" s="2888" t="s">
        <v>3241</v>
      </c>
      <c r="DGB6" s="2888" t="s">
        <v>3241</v>
      </c>
      <c r="DGC6" s="2888" t="s">
        <v>3241</v>
      </c>
      <c r="DGD6" s="2888" t="s">
        <v>3241</v>
      </c>
      <c r="DGE6" s="2888" t="s">
        <v>3241</v>
      </c>
      <c r="DGF6" s="2888" t="s">
        <v>3241</v>
      </c>
      <c r="DGG6" s="2888" t="s">
        <v>3241</v>
      </c>
      <c r="DGH6" s="2888" t="s">
        <v>3241</v>
      </c>
      <c r="DGI6" s="2888" t="s">
        <v>3241</v>
      </c>
      <c r="DGJ6" s="2888" t="s">
        <v>3241</v>
      </c>
      <c r="DGK6" s="2888" t="s">
        <v>3241</v>
      </c>
      <c r="DGL6" s="2888" t="s">
        <v>3241</v>
      </c>
      <c r="DGM6" s="2888" t="s">
        <v>3241</v>
      </c>
      <c r="DGN6" s="2888" t="s">
        <v>3241</v>
      </c>
      <c r="DGO6" s="2888" t="s">
        <v>3241</v>
      </c>
      <c r="DGP6" s="2888" t="s">
        <v>3241</v>
      </c>
      <c r="DGQ6" s="2888" t="s">
        <v>3241</v>
      </c>
      <c r="DGR6" s="2888" t="s">
        <v>3241</v>
      </c>
      <c r="DGS6" s="2888" t="s">
        <v>3241</v>
      </c>
      <c r="DGT6" s="2888" t="s">
        <v>3241</v>
      </c>
      <c r="DGU6" s="2888" t="s">
        <v>3241</v>
      </c>
      <c r="DGV6" s="2888" t="s">
        <v>3241</v>
      </c>
      <c r="DGW6" s="2888" t="s">
        <v>3241</v>
      </c>
      <c r="DGX6" s="2888" t="s">
        <v>3241</v>
      </c>
      <c r="DGY6" s="2888" t="s">
        <v>3241</v>
      </c>
      <c r="DGZ6" s="2888" t="s">
        <v>3241</v>
      </c>
      <c r="DHA6" s="2888" t="s">
        <v>3241</v>
      </c>
      <c r="DHB6" s="2888" t="s">
        <v>3241</v>
      </c>
      <c r="DHC6" s="2888" t="s">
        <v>3241</v>
      </c>
      <c r="DHD6" s="2888" t="s">
        <v>3241</v>
      </c>
      <c r="DHE6" s="2888" t="s">
        <v>3241</v>
      </c>
      <c r="DHF6" s="2888" t="s">
        <v>3241</v>
      </c>
      <c r="DHG6" s="2888" t="s">
        <v>3241</v>
      </c>
      <c r="DHH6" s="2888" t="s">
        <v>3241</v>
      </c>
      <c r="DHI6" s="2888" t="s">
        <v>3241</v>
      </c>
      <c r="DHJ6" s="2888" t="s">
        <v>3241</v>
      </c>
      <c r="DHK6" s="2888" t="s">
        <v>3241</v>
      </c>
      <c r="DHL6" s="2888" t="s">
        <v>3241</v>
      </c>
      <c r="DHM6" s="2888" t="s">
        <v>3241</v>
      </c>
      <c r="DHN6" s="2888" t="s">
        <v>3241</v>
      </c>
      <c r="DHO6" s="2888" t="s">
        <v>3241</v>
      </c>
      <c r="DHP6" s="2888" t="s">
        <v>3241</v>
      </c>
      <c r="DHQ6" s="2888" t="s">
        <v>3241</v>
      </c>
      <c r="DHR6" s="2888" t="s">
        <v>3241</v>
      </c>
      <c r="DHS6" s="2888" t="s">
        <v>3241</v>
      </c>
      <c r="DHT6" s="2888" t="s">
        <v>3241</v>
      </c>
      <c r="DHU6" s="2888" t="s">
        <v>3241</v>
      </c>
      <c r="DHV6" s="2888" t="s">
        <v>3241</v>
      </c>
      <c r="DHW6" s="2888" t="s">
        <v>3241</v>
      </c>
      <c r="DHX6" s="2888" t="s">
        <v>3241</v>
      </c>
      <c r="DHY6" s="2888" t="s">
        <v>3241</v>
      </c>
      <c r="DHZ6" s="2888" t="s">
        <v>3241</v>
      </c>
      <c r="DIA6" s="2888" t="s">
        <v>3241</v>
      </c>
      <c r="DIB6" s="2888" t="s">
        <v>3241</v>
      </c>
      <c r="DIC6" s="2888" t="s">
        <v>3241</v>
      </c>
      <c r="DID6" s="2888" t="s">
        <v>3241</v>
      </c>
      <c r="DIE6" s="2888" t="s">
        <v>3241</v>
      </c>
      <c r="DIF6" s="2888" t="s">
        <v>3241</v>
      </c>
      <c r="DIG6" s="2888" t="s">
        <v>3241</v>
      </c>
      <c r="DIH6" s="2888" t="s">
        <v>3241</v>
      </c>
      <c r="DII6" s="2888" t="s">
        <v>3241</v>
      </c>
      <c r="DIJ6" s="2888" t="s">
        <v>3241</v>
      </c>
      <c r="DIK6" s="2888" t="s">
        <v>3241</v>
      </c>
      <c r="DIL6" s="2888" t="s">
        <v>3241</v>
      </c>
      <c r="DIM6" s="2888" t="s">
        <v>3241</v>
      </c>
      <c r="DIN6" s="2888" t="s">
        <v>3241</v>
      </c>
      <c r="DIO6" s="2888" t="s">
        <v>3241</v>
      </c>
      <c r="DIP6" s="2888" t="s">
        <v>3241</v>
      </c>
      <c r="DIQ6" s="2888" t="s">
        <v>3241</v>
      </c>
      <c r="DIR6" s="2888" t="s">
        <v>3241</v>
      </c>
      <c r="DIS6" s="2888" t="s">
        <v>3241</v>
      </c>
      <c r="DIT6" s="2888" t="s">
        <v>3241</v>
      </c>
      <c r="DIU6" s="2888" t="s">
        <v>3241</v>
      </c>
      <c r="DIV6" s="2888" t="s">
        <v>3241</v>
      </c>
      <c r="DIW6" s="2888" t="s">
        <v>3241</v>
      </c>
      <c r="DIX6" s="2888" t="s">
        <v>3241</v>
      </c>
      <c r="DIY6" s="2888" t="s">
        <v>3241</v>
      </c>
      <c r="DIZ6" s="2888" t="s">
        <v>3241</v>
      </c>
      <c r="DJA6" s="2888" t="s">
        <v>3241</v>
      </c>
      <c r="DJB6" s="2888" t="s">
        <v>3241</v>
      </c>
      <c r="DJC6" s="2888" t="s">
        <v>3241</v>
      </c>
      <c r="DJD6" s="2888" t="s">
        <v>3241</v>
      </c>
      <c r="DJE6" s="2888" t="s">
        <v>3241</v>
      </c>
      <c r="DJF6" s="2888" t="s">
        <v>3241</v>
      </c>
      <c r="DJG6" s="2888" t="s">
        <v>3241</v>
      </c>
      <c r="DJH6" s="2888" t="s">
        <v>3241</v>
      </c>
      <c r="DJI6" s="2888" t="s">
        <v>3241</v>
      </c>
      <c r="DJJ6" s="2888" t="s">
        <v>3241</v>
      </c>
      <c r="DJK6" s="2888" t="s">
        <v>3241</v>
      </c>
      <c r="DJL6" s="2888" t="s">
        <v>3241</v>
      </c>
      <c r="DJM6" s="2888" t="s">
        <v>3241</v>
      </c>
      <c r="DJN6" s="2888" t="s">
        <v>3241</v>
      </c>
      <c r="DJO6" s="2888" t="s">
        <v>3241</v>
      </c>
      <c r="DJP6" s="2888" t="s">
        <v>3241</v>
      </c>
      <c r="DJQ6" s="2888" t="s">
        <v>3241</v>
      </c>
      <c r="DJR6" s="2888" t="s">
        <v>3241</v>
      </c>
      <c r="DJS6" s="2888" t="s">
        <v>3241</v>
      </c>
      <c r="DJT6" s="2888" t="s">
        <v>3241</v>
      </c>
      <c r="DJU6" s="2888" t="s">
        <v>3241</v>
      </c>
      <c r="DJV6" s="2888" t="s">
        <v>3241</v>
      </c>
      <c r="DJW6" s="2888" t="s">
        <v>3241</v>
      </c>
      <c r="DJX6" s="2888" t="s">
        <v>3241</v>
      </c>
      <c r="DJY6" s="2888" t="s">
        <v>3241</v>
      </c>
      <c r="DJZ6" s="2888" t="s">
        <v>3241</v>
      </c>
      <c r="DKA6" s="2888" t="s">
        <v>3241</v>
      </c>
      <c r="DKB6" s="2888" t="s">
        <v>3241</v>
      </c>
      <c r="DKC6" s="2888" t="s">
        <v>3241</v>
      </c>
      <c r="DKD6" s="2888" t="s">
        <v>3241</v>
      </c>
      <c r="DKE6" s="2888" t="s">
        <v>3241</v>
      </c>
      <c r="DKF6" s="2888" t="s">
        <v>3241</v>
      </c>
      <c r="DKG6" s="2888" t="s">
        <v>3241</v>
      </c>
      <c r="DKH6" s="2888" t="s">
        <v>3241</v>
      </c>
      <c r="DKI6" s="2888" t="s">
        <v>3241</v>
      </c>
      <c r="DKJ6" s="2888" t="s">
        <v>3241</v>
      </c>
      <c r="DKK6" s="2888" t="s">
        <v>3241</v>
      </c>
      <c r="DKL6" s="2888" t="s">
        <v>3241</v>
      </c>
      <c r="DKM6" s="2888" t="s">
        <v>3241</v>
      </c>
      <c r="DKN6" s="2888" t="s">
        <v>3241</v>
      </c>
      <c r="DKO6" s="2888" t="s">
        <v>3241</v>
      </c>
      <c r="DKP6" s="2888" t="s">
        <v>3241</v>
      </c>
      <c r="DKQ6" s="2888" t="s">
        <v>3241</v>
      </c>
      <c r="DKR6" s="2888" t="s">
        <v>3241</v>
      </c>
      <c r="DKS6" s="2888" t="s">
        <v>3241</v>
      </c>
      <c r="DKT6" s="2888" t="s">
        <v>3241</v>
      </c>
      <c r="DKU6" s="2888" t="s">
        <v>3241</v>
      </c>
      <c r="DKV6" s="2888" t="s">
        <v>3241</v>
      </c>
      <c r="DKW6" s="2888" t="s">
        <v>3241</v>
      </c>
      <c r="DKX6" s="2888" t="s">
        <v>3241</v>
      </c>
      <c r="DKY6" s="2888" t="s">
        <v>3241</v>
      </c>
      <c r="DKZ6" s="2888" t="s">
        <v>3241</v>
      </c>
      <c r="DLA6" s="2888" t="s">
        <v>3241</v>
      </c>
      <c r="DLB6" s="2888" t="s">
        <v>3241</v>
      </c>
      <c r="DLC6" s="2888" t="s">
        <v>3241</v>
      </c>
      <c r="DLD6" s="2888" t="s">
        <v>3241</v>
      </c>
      <c r="DLE6" s="2888" t="s">
        <v>3241</v>
      </c>
      <c r="DLF6" s="2888" t="s">
        <v>3241</v>
      </c>
      <c r="DLG6" s="2888" t="s">
        <v>3241</v>
      </c>
      <c r="DLH6" s="2888" t="s">
        <v>3241</v>
      </c>
      <c r="DLI6" s="2888" t="s">
        <v>3241</v>
      </c>
      <c r="DLJ6" s="2888" t="s">
        <v>3241</v>
      </c>
      <c r="DLK6" s="2888" t="s">
        <v>3241</v>
      </c>
      <c r="DLL6" s="2888" t="s">
        <v>3241</v>
      </c>
      <c r="DLM6" s="2888" t="s">
        <v>3241</v>
      </c>
      <c r="DLN6" s="2888" t="s">
        <v>3241</v>
      </c>
      <c r="DLO6" s="2888" t="s">
        <v>3241</v>
      </c>
      <c r="DLP6" s="2888" t="s">
        <v>3241</v>
      </c>
      <c r="DLQ6" s="2888" t="s">
        <v>3241</v>
      </c>
      <c r="DLR6" s="2888" t="s">
        <v>3241</v>
      </c>
      <c r="DLS6" s="2888" t="s">
        <v>3241</v>
      </c>
      <c r="DLT6" s="2888" t="s">
        <v>3241</v>
      </c>
      <c r="DLU6" s="2888" t="s">
        <v>3241</v>
      </c>
      <c r="DLV6" s="2888" t="s">
        <v>3241</v>
      </c>
      <c r="DLW6" s="2888" t="s">
        <v>3241</v>
      </c>
      <c r="DLX6" s="2888" t="s">
        <v>3241</v>
      </c>
      <c r="DLY6" s="2888" t="s">
        <v>3241</v>
      </c>
      <c r="DLZ6" s="2888" t="s">
        <v>3241</v>
      </c>
      <c r="DMA6" s="2888" t="s">
        <v>3241</v>
      </c>
      <c r="DMB6" s="2888" t="s">
        <v>3241</v>
      </c>
      <c r="DMC6" s="2888" t="s">
        <v>3241</v>
      </c>
      <c r="DMD6" s="2888" t="s">
        <v>3241</v>
      </c>
      <c r="DME6" s="2888" t="s">
        <v>3241</v>
      </c>
      <c r="DMF6" s="2888" t="s">
        <v>3241</v>
      </c>
      <c r="DMG6" s="2888" t="s">
        <v>3241</v>
      </c>
      <c r="DMH6" s="2888" t="s">
        <v>3241</v>
      </c>
      <c r="DMI6" s="2888" t="s">
        <v>3241</v>
      </c>
      <c r="DMJ6" s="2888" t="s">
        <v>3241</v>
      </c>
      <c r="DMK6" s="2888" t="s">
        <v>3241</v>
      </c>
      <c r="DML6" s="2888" t="s">
        <v>3241</v>
      </c>
      <c r="DMM6" s="2888" t="s">
        <v>3241</v>
      </c>
      <c r="DMN6" s="2888" t="s">
        <v>3241</v>
      </c>
      <c r="DMO6" s="2888" t="s">
        <v>3241</v>
      </c>
      <c r="DMP6" s="2888" t="s">
        <v>3241</v>
      </c>
      <c r="DMQ6" s="2888" t="s">
        <v>3241</v>
      </c>
      <c r="DMR6" s="2888" t="s">
        <v>3241</v>
      </c>
      <c r="DMS6" s="2888" t="s">
        <v>3241</v>
      </c>
      <c r="DMT6" s="2888" t="s">
        <v>3241</v>
      </c>
      <c r="DMU6" s="2888" t="s">
        <v>3241</v>
      </c>
      <c r="DMV6" s="2888" t="s">
        <v>3241</v>
      </c>
      <c r="DMW6" s="2888" t="s">
        <v>3241</v>
      </c>
      <c r="DMX6" s="2888" t="s">
        <v>3241</v>
      </c>
      <c r="DMY6" s="2888" t="s">
        <v>3241</v>
      </c>
      <c r="DMZ6" s="2888" t="s">
        <v>3241</v>
      </c>
      <c r="DNA6" s="2888" t="s">
        <v>3241</v>
      </c>
      <c r="DNB6" s="2888" t="s">
        <v>3241</v>
      </c>
      <c r="DNC6" s="2888" t="s">
        <v>3241</v>
      </c>
      <c r="DND6" s="2888" t="s">
        <v>3241</v>
      </c>
      <c r="DNE6" s="2888" t="s">
        <v>3241</v>
      </c>
      <c r="DNF6" s="2888" t="s">
        <v>3241</v>
      </c>
      <c r="DNG6" s="2888" t="s">
        <v>3241</v>
      </c>
      <c r="DNH6" s="2888" t="s">
        <v>3241</v>
      </c>
      <c r="DNI6" s="2888" t="s">
        <v>3241</v>
      </c>
      <c r="DNJ6" s="2888" t="s">
        <v>3241</v>
      </c>
      <c r="DNK6" s="2888" t="s">
        <v>3241</v>
      </c>
      <c r="DNL6" s="2888" t="s">
        <v>3241</v>
      </c>
      <c r="DNM6" s="2888" t="s">
        <v>3241</v>
      </c>
      <c r="DNN6" s="2888" t="s">
        <v>3241</v>
      </c>
      <c r="DNO6" s="2888" t="s">
        <v>3241</v>
      </c>
      <c r="DNP6" s="2888" t="s">
        <v>3241</v>
      </c>
      <c r="DNQ6" s="2888" t="s">
        <v>3241</v>
      </c>
      <c r="DNR6" s="2888" t="s">
        <v>3241</v>
      </c>
      <c r="DNS6" s="2888" t="s">
        <v>3241</v>
      </c>
      <c r="DNT6" s="2888" t="s">
        <v>3241</v>
      </c>
      <c r="DNU6" s="2888" t="s">
        <v>3241</v>
      </c>
      <c r="DNV6" s="2888" t="s">
        <v>3241</v>
      </c>
      <c r="DNW6" s="2888" t="s">
        <v>3241</v>
      </c>
      <c r="DNX6" s="2888" t="s">
        <v>3241</v>
      </c>
      <c r="DNY6" s="2888" t="s">
        <v>3241</v>
      </c>
      <c r="DNZ6" s="2888" t="s">
        <v>3241</v>
      </c>
      <c r="DOA6" s="2888" t="s">
        <v>3241</v>
      </c>
      <c r="DOB6" s="2888" t="s">
        <v>3241</v>
      </c>
      <c r="DOC6" s="2888" t="s">
        <v>3241</v>
      </c>
      <c r="DOD6" s="2888" t="s">
        <v>3241</v>
      </c>
      <c r="DOE6" s="2888" t="s">
        <v>3241</v>
      </c>
      <c r="DOF6" s="2888" t="s">
        <v>3241</v>
      </c>
      <c r="DOG6" s="2888" t="s">
        <v>3241</v>
      </c>
      <c r="DOH6" s="2888" t="s">
        <v>3241</v>
      </c>
      <c r="DOI6" s="2888" t="s">
        <v>3241</v>
      </c>
      <c r="DOJ6" s="2888" t="s">
        <v>3241</v>
      </c>
      <c r="DOK6" s="2888" t="s">
        <v>3241</v>
      </c>
      <c r="DOL6" s="2888" t="s">
        <v>3241</v>
      </c>
      <c r="DOM6" s="2888" t="s">
        <v>3241</v>
      </c>
      <c r="DON6" s="2888" t="s">
        <v>3241</v>
      </c>
      <c r="DOO6" s="2888" t="s">
        <v>3241</v>
      </c>
      <c r="DOP6" s="2888" t="s">
        <v>3241</v>
      </c>
      <c r="DOQ6" s="2888" t="s">
        <v>3241</v>
      </c>
      <c r="DOR6" s="2888" t="s">
        <v>3241</v>
      </c>
      <c r="DOS6" s="2888" t="s">
        <v>3241</v>
      </c>
      <c r="DOT6" s="2888" t="s">
        <v>3241</v>
      </c>
      <c r="DOU6" s="2888" t="s">
        <v>3241</v>
      </c>
      <c r="DOV6" s="2888" t="s">
        <v>3241</v>
      </c>
      <c r="DOW6" s="2888" t="s">
        <v>3241</v>
      </c>
      <c r="DOX6" s="2888" t="s">
        <v>3241</v>
      </c>
      <c r="DOY6" s="2888" t="s">
        <v>3241</v>
      </c>
      <c r="DOZ6" s="2888" t="s">
        <v>3241</v>
      </c>
      <c r="DPA6" s="2888" t="s">
        <v>3241</v>
      </c>
      <c r="DPB6" s="2888" t="s">
        <v>3241</v>
      </c>
      <c r="DPC6" s="2888" t="s">
        <v>3241</v>
      </c>
      <c r="DPD6" s="2888" t="s">
        <v>3241</v>
      </c>
      <c r="DPE6" s="2888" t="s">
        <v>3241</v>
      </c>
      <c r="DPF6" s="2888" t="s">
        <v>3241</v>
      </c>
      <c r="DPG6" s="2888" t="s">
        <v>3241</v>
      </c>
      <c r="DPH6" s="2888" t="s">
        <v>3241</v>
      </c>
      <c r="DPI6" s="2888" t="s">
        <v>3241</v>
      </c>
      <c r="DPJ6" s="2888" t="s">
        <v>3241</v>
      </c>
      <c r="DPK6" s="2888" t="s">
        <v>3241</v>
      </c>
      <c r="DPL6" s="2888" t="s">
        <v>3241</v>
      </c>
      <c r="DPM6" s="2888" t="s">
        <v>3241</v>
      </c>
      <c r="DPN6" s="2888" t="s">
        <v>3241</v>
      </c>
      <c r="DPO6" s="2888" t="s">
        <v>3241</v>
      </c>
      <c r="DPP6" s="2888" t="s">
        <v>3241</v>
      </c>
      <c r="DPQ6" s="2888" t="s">
        <v>3241</v>
      </c>
      <c r="DPR6" s="2888" t="s">
        <v>3241</v>
      </c>
      <c r="DPS6" s="2888" t="s">
        <v>3241</v>
      </c>
      <c r="DPT6" s="2888" t="s">
        <v>3241</v>
      </c>
      <c r="DPU6" s="2888" t="s">
        <v>3241</v>
      </c>
      <c r="DPV6" s="2888" t="s">
        <v>3241</v>
      </c>
      <c r="DPW6" s="2888" t="s">
        <v>3241</v>
      </c>
      <c r="DPX6" s="2888" t="s">
        <v>3241</v>
      </c>
      <c r="DPY6" s="2888" t="s">
        <v>3241</v>
      </c>
      <c r="DPZ6" s="2888" t="s">
        <v>3241</v>
      </c>
      <c r="DQA6" s="2888" t="s">
        <v>3241</v>
      </c>
      <c r="DQB6" s="2888" t="s">
        <v>3241</v>
      </c>
      <c r="DQC6" s="2888" t="s">
        <v>3241</v>
      </c>
      <c r="DQD6" s="2888" t="s">
        <v>3241</v>
      </c>
      <c r="DQE6" s="2888" t="s">
        <v>3241</v>
      </c>
      <c r="DQF6" s="2888" t="s">
        <v>3241</v>
      </c>
      <c r="DQG6" s="2888" t="s">
        <v>3241</v>
      </c>
      <c r="DQH6" s="2888" t="s">
        <v>3241</v>
      </c>
      <c r="DQI6" s="2888" t="s">
        <v>3241</v>
      </c>
      <c r="DQJ6" s="2888" t="s">
        <v>3241</v>
      </c>
      <c r="DQK6" s="2888" t="s">
        <v>3241</v>
      </c>
      <c r="DQL6" s="2888" t="s">
        <v>3241</v>
      </c>
      <c r="DQM6" s="2888" t="s">
        <v>3241</v>
      </c>
      <c r="DQN6" s="2888" t="s">
        <v>3241</v>
      </c>
      <c r="DQO6" s="2888" t="s">
        <v>3241</v>
      </c>
      <c r="DQP6" s="2888" t="s">
        <v>3241</v>
      </c>
      <c r="DQQ6" s="2888" t="s">
        <v>3241</v>
      </c>
      <c r="DQR6" s="2888" t="s">
        <v>3241</v>
      </c>
      <c r="DQS6" s="2888" t="s">
        <v>3241</v>
      </c>
      <c r="DQT6" s="2888" t="s">
        <v>3241</v>
      </c>
      <c r="DQU6" s="2888" t="s">
        <v>3241</v>
      </c>
      <c r="DQV6" s="2888" t="s">
        <v>3241</v>
      </c>
      <c r="DQW6" s="2888" t="s">
        <v>3241</v>
      </c>
      <c r="DQX6" s="2888" t="s">
        <v>3241</v>
      </c>
      <c r="DQY6" s="2888" t="s">
        <v>3241</v>
      </c>
      <c r="DQZ6" s="2888" t="s">
        <v>3241</v>
      </c>
      <c r="DRA6" s="2888" t="s">
        <v>3241</v>
      </c>
      <c r="DRB6" s="2888" t="s">
        <v>3241</v>
      </c>
      <c r="DRC6" s="2888" t="s">
        <v>3241</v>
      </c>
      <c r="DRD6" s="2888" t="s">
        <v>3241</v>
      </c>
      <c r="DRE6" s="2888" t="s">
        <v>3241</v>
      </c>
      <c r="DRF6" s="2888" t="s">
        <v>3241</v>
      </c>
      <c r="DRG6" s="2888" t="s">
        <v>3241</v>
      </c>
      <c r="DRH6" s="2888" t="s">
        <v>3241</v>
      </c>
      <c r="DRI6" s="2888" t="s">
        <v>3241</v>
      </c>
      <c r="DRJ6" s="2888" t="s">
        <v>3241</v>
      </c>
      <c r="DRK6" s="2888" t="s">
        <v>3241</v>
      </c>
      <c r="DRL6" s="2888" t="s">
        <v>3241</v>
      </c>
      <c r="DRM6" s="2888" t="s">
        <v>3241</v>
      </c>
      <c r="DRN6" s="2888" t="s">
        <v>3241</v>
      </c>
      <c r="DRO6" s="2888" t="s">
        <v>3241</v>
      </c>
      <c r="DRP6" s="2888" t="s">
        <v>3241</v>
      </c>
      <c r="DRQ6" s="2888" t="s">
        <v>3241</v>
      </c>
      <c r="DRR6" s="2888" t="s">
        <v>3241</v>
      </c>
      <c r="DRS6" s="2888" t="s">
        <v>3241</v>
      </c>
      <c r="DRT6" s="2888" t="s">
        <v>3241</v>
      </c>
      <c r="DRU6" s="2888" t="s">
        <v>3241</v>
      </c>
      <c r="DRV6" s="2888" t="s">
        <v>3241</v>
      </c>
      <c r="DRW6" s="2888" t="s">
        <v>3241</v>
      </c>
      <c r="DRX6" s="2888" t="s">
        <v>3241</v>
      </c>
      <c r="DRY6" s="2888" t="s">
        <v>3241</v>
      </c>
      <c r="DRZ6" s="2888" t="s">
        <v>3241</v>
      </c>
      <c r="DSA6" s="2888" t="s">
        <v>3241</v>
      </c>
      <c r="DSB6" s="2888" t="s">
        <v>3241</v>
      </c>
      <c r="DSC6" s="2888" t="s">
        <v>3241</v>
      </c>
      <c r="DSD6" s="2888" t="s">
        <v>3241</v>
      </c>
      <c r="DSE6" s="2888" t="s">
        <v>3241</v>
      </c>
      <c r="DSF6" s="2888" t="s">
        <v>3241</v>
      </c>
      <c r="DSG6" s="2888" t="s">
        <v>3241</v>
      </c>
      <c r="DSH6" s="2888" t="s">
        <v>3241</v>
      </c>
      <c r="DSI6" s="2888" t="s">
        <v>3241</v>
      </c>
      <c r="DSJ6" s="2888" t="s">
        <v>3241</v>
      </c>
      <c r="DSK6" s="2888" t="s">
        <v>3241</v>
      </c>
      <c r="DSL6" s="2888" t="s">
        <v>3241</v>
      </c>
      <c r="DSM6" s="2888" t="s">
        <v>3241</v>
      </c>
      <c r="DSN6" s="2888" t="s">
        <v>3241</v>
      </c>
      <c r="DSO6" s="2888" t="s">
        <v>3241</v>
      </c>
      <c r="DSP6" s="2888" t="s">
        <v>3241</v>
      </c>
      <c r="DSQ6" s="2888" t="s">
        <v>3241</v>
      </c>
      <c r="DSR6" s="2888" t="s">
        <v>3241</v>
      </c>
      <c r="DSS6" s="2888" t="s">
        <v>3241</v>
      </c>
      <c r="DST6" s="2888" t="s">
        <v>3241</v>
      </c>
      <c r="DSU6" s="2888" t="s">
        <v>3241</v>
      </c>
      <c r="DSV6" s="2888" t="s">
        <v>3241</v>
      </c>
      <c r="DSW6" s="2888" t="s">
        <v>3241</v>
      </c>
      <c r="DSX6" s="2888" t="s">
        <v>3241</v>
      </c>
      <c r="DSY6" s="2888" t="s">
        <v>3241</v>
      </c>
      <c r="DSZ6" s="2888" t="s">
        <v>3241</v>
      </c>
      <c r="DTA6" s="2888" t="s">
        <v>3241</v>
      </c>
      <c r="DTB6" s="2888" t="s">
        <v>3241</v>
      </c>
      <c r="DTC6" s="2888" t="s">
        <v>3241</v>
      </c>
      <c r="DTD6" s="2888" t="s">
        <v>3241</v>
      </c>
      <c r="DTE6" s="2888" t="s">
        <v>3241</v>
      </c>
      <c r="DTF6" s="2888" t="s">
        <v>3241</v>
      </c>
      <c r="DTG6" s="2888" t="s">
        <v>3241</v>
      </c>
      <c r="DTH6" s="2888" t="s">
        <v>3241</v>
      </c>
      <c r="DTI6" s="2888" t="s">
        <v>3241</v>
      </c>
      <c r="DTJ6" s="2888" t="s">
        <v>3241</v>
      </c>
      <c r="DTK6" s="2888" t="s">
        <v>3241</v>
      </c>
      <c r="DTL6" s="2888" t="s">
        <v>3241</v>
      </c>
      <c r="DTM6" s="2888" t="s">
        <v>3241</v>
      </c>
      <c r="DTN6" s="2888" t="s">
        <v>3241</v>
      </c>
      <c r="DTO6" s="2888" t="s">
        <v>3241</v>
      </c>
      <c r="DTP6" s="2888" t="s">
        <v>3241</v>
      </c>
      <c r="DTQ6" s="2888" t="s">
        <v>3241</v>
      </c>
      <c r="DTR6" s="2888" t="s">
        <v>3241</v>
      </c>
      <c r="DTS6" s="2888" t="s">
        <v>3241</v>
      </c>
      <c r="DTT6" s="2888" t="s">
        <v>3241</v>
      </c>
      <c r="DTU6" s="2888" t="s">
        <v>3241</v>
      </c>
      <c r="DTV6" s="2888" t="s">
        <v>3241</v>
      </c>
      <c r="DTW6" s="2888" t="s">
        <v>3241</v>
      </c>
      <c r="DTX6" s="2888" t="s">
        <v>3241</v>
      </c>
      <c r="DTY6" s="2888" t="s">
        <v>3241</v>
      </c>
      <c r="DTZ6" s="2888" t="s">
        <v>3241</v>
      </c>
      <c r="DUA6" s="2888" t="s">
        <v>3241</v>
      </c>
      <c r="DUB6" s="2888" t="s">
        <v>3241</v>
      </c>
      <c r="DUC6" s="2888" t="s">
        <v>3241</v>
      </c>
      <c r="DUD6" s="2888" t="s">
        <v>3241</v>
      </c>
      <c r="DUE6" s="2888" t="s">
        <v>3241</v>
      </c>
      <c r="DUF6" s="2888" t="s">
        <v>3241</v>
      </c>
      <c r="DUG6" s="2888" t="s">
        <v>3241</v>
      </c>
      <c r="DUH6" s="2888" t="s">
        <v>3241</v>
      </c>
      <c r="DUI6" s="2888" t="s">
        <v>3241</v>
      </c>
      <c r="DUJ6" s="2888" t="s">
        <v>3241</v>
      </c>
      <c r="DUK6" s="2888" t="s">
        <v>3241</v>
      </c>
      <c r="DUL6" s="2888" t="s">
        <v>3241</v>
      </c>
      <c r="DUM6" s="2888" t="s">
        <v>3241</v>
      </c>
      <c r="DUN6" s="2888" t="s">
        <v>3241</v>
      </c>
      <c r="DUO6" s="2888" t="s">
        <v>3241</v>
      </c>
      <c r="DUP6" s="2888" t="s">
        <v>3241</v>
      </c>
      <c r="DUQ6" s="2888" t="s">
        <v>3241</v>
      </c>
      <c r="DUR6" s="2888" t="s">
        <v>3241</v>
      </c>
      <c r="DUS6" s="2888" t="s">
        <v>3241</v>
      </c>
      <c r="DUT6" s="2888" t="s">
        <v>3241</v>
      </c>
      <c r="DUU6" s="2888" t="s">
        <v>3241</v>
      </c>
      <c r="DUV6" s="2888" t="s">
        <v>3241</v>
      </c>
      <c r="DUW6" s="2888" t="s">
        <v>3241</v>
      </c>
      <c r="DUX6" s="2888" t="s">
        <v>3241</v>
      </c>
      <c r="DUY6" s="2888" t="s">
        <v>3241</v>
      </c>
      <c r="DUZ6" s="2888" t="s">
        <v>3241</v>
      </c>
      <c r="DVA6" s="2888" t="s">
        <v>3241</v>
      </c>
      <c r="DVB6" s="2888" t="s">
        <v>3241</v>
      </c>
      <c r="DVC6" s="2888" t="s">
        <v>3241</v>
      </c>
      <c r="DVD6" s="2888" t="s">
        <v>3241</v>
      </c>
      <c r="DVE6" s="2888" t="s">
        <v>3241</v>
      </c>
      <c r="DVF6" s="2888" t="s">
        <v>3241</v>
      </c>
      <c r="DVG6" s="2888" t="s">
        <v>3241</v>
      </c>
      <c r="DVH6" s="2888" t="s">
        <v>3241</v>
      </c>
      <c r="DVI6" s="2888" t="s">
        <v>3241</v>
      </c>
      <c r="DVJ6" s="2888" t="s">
        <v>3241</v>
      </c>
      <c r="DVK6" s="2888" t="s">
        <v>3241</v>
      </c>
      <c r="DVL6" s="2888" t="s">
        <v>3241</v>
      </c>
      <c r="DVM6" s="2888" t="s">
        <v>3241</v>
      </c>
      <c r="DVN6" s="2888" t="s">
        <v>3241</v>
      </c>
      <c r="DVO6" s="2888" t="s">
        <v>3241</v>
      </c>
      <c r="DVP6" s="2888" t="s">
        <v>3241</v>
      </c>
      <c r="DVQ6" s="2888" t="s">
        <v>3241</v>
      </c>
      <c r="DVR6" s="2888" t="s">
        <v>3241</v>
      </c>
      <c r="DVS6" s="2888" t="s">
        <v>3241</v>
      </c>
      <c r="DVT6" s="2888" t="s">
        <v>3241</v>
      </c>
      <c r="DVU6" s="2888" t="s">
        <v>3241</v>
      </c>
      <c r="DVV6" s="2888" t="s">
        <v>3241</v>
      </c>
      <c r="DVW6" s="2888" t="s">
        <v>3241</v>
      </c>
      <c r="DVX6" s="2888" t="s">
        <v>3241</v>
      </c>
      <c r="DVY6" s="2888" t="s">
        <v>3241</v>
      </c>
      <c r="DVZ6" s="2888" t="s">
        <v>3241</v>
      </c>
      <c r="DWA6" s="2888" t="s">
        <v>3241</v>
      </c>
      <c r="DWB6" s="2888" t="s">
        <v>3241</v>
      </c>
      <c r="DWC6" s="2888" t="s">
        <v>3241</v>
      </c>
      <c r="DWD6" s="2888" t="s">
        <v>3241</v>
      </c>
      <c r="DWE6" s="2888" t="s">
        <v>3241</v>
      </c>
      <c r="DWF6" s="2888" t="s">
        <v>3241</v>
      </c>
      <c r="DWG6" s="2888" t="s">
        <v>3241</v>
      </c>
      <c r="DWH6" s="2888" t="s">
        <v>3241</v>
      </c>
      <c r="DWI6" s="2888" t="s">
        <v>3241</v>
      </c>
      <c r="DWJ6" s="2888" t="s">
        <v>3241</v>
      </c>
      <c r="DWK6" s="2888" t="s">
        <v>3241</v>
      </c>
      <c r="DWL6" s="2888" t="s">
        <v>3241</v>
      </c>
      <c r="DWM6" s="2888" t="s">
        <v>3241</v>
      </c>
      <c r="DWN6" s="2888" t="s">
        <v>3241</v>
      </c>
      <c r="DWO6" s="2888" t="s">
        <v>3241</v>
      </c>
      <c r="DWP6" s="2888" t="s">
        <v>3241</v>
      </c>
      <c r="DWQ6" s="2888" t="s">
        <v>3241</v>
      </c>
      <c r="DWR6" s="2888" t="s">
        <v>3241</v>
      </c>
      <c r="DWS6" s="2888" t="s">
        <v>3241</v>
      </c>
      <c r="DWT6" s="2888" t="s">
        <v>3241</v>
      </c>
      <c r="DWU6" s="2888" t="s">
        <v>3241</v>
      </c>
      <c r="DWV6" s="2888" t="s">
        <v>3241</v>
      </c>
      <c r="DWW6" s="2888" t="s">
        <v>3241</v>
      </c>
      <c r="DWX6" s="2888" t="s">
        <v>3241</v>
      </c>
      <c r="DWY6" s="2888" t="s">
        <v>3241</v>
      </c>
      <c r="DWZ6" s="2888" t="s">
        <v>3241</v>
      </c>
      <c r="DXA6" s="2888" t="s">
        <v>3241</v>
      </c>
      <c r="DXB6" s="2888" t="s">
        <v>3241</v>
      </c>
      <c r="DXC6" s="2888" t="s">
        <v>3241</v>
      </c>
      <c r="DXD6" s="2888" t="s">
        <v>3241</v>
      </c>
      <c r="DXE6" s="2888" t="s">
        <v>3241</v>
      </c>
      <c r="DXF6" s="2888" t="s">
        <v>3241</v>
      </c>
      <c r="DXG6" s="2888" t="s">
        <v>3241</v>
      </c>
      <c r="DXH6" s="2888" t="s">
        <v>3241</v>
      </c>
      <c r="DXI6" s="2888" t="s">
        <v>3241</v>
      </c>
      <c r="DXJ6" s="2888" t="s">
        <v>3241</v>
      </c>
      <c r="DXK6" s="2888" t="s">
        <v>3241</v>
      </c>
      <c r="DXL6" s="2888" t="s">
        <v>3241</v>
      </c>
      <c r="DXM6" s="2888" t="s">
        <v>3241</v>
      </c>
      <c r="DXN6" s="2888" t="s">
        <v>3241</v>
      </c>
      <c r="DXO6" s="2888" t="s">
        <v>3241</v>
      </c>
      <c r="DXP6" s="2888" t="s">
        <v>3241</v>
      </c>
      <c r="DXQ6" s="2888" t="s">
        <v>3241</v>
      </c>
      <c r="DXR6" s="2888" t="s">
        <v>3241</v>
      </c>
      <c r="DXS6" s="2888" t="s">
        <v>3241</v>
      </c>
      <c r="DXT6" s="2888" t="s">
        <v>3241</v>
      </c>
      <c r="DXU6" s="2888" t="s">
        <v>3241</v>
      </c>
      <c r="DXV6" s="2888" t="s">
        <v>3241</v>
      </c>
      <c r="DXW6" s="2888" t="s">
        <v>3241</v>
      </c>
      <c r="DXX6" s="2888" t="s">
        <v>3241</v>
      </c>
      <c r="DXY6" s="2888" t="s">
        <v>3241</v>
      </c>
      <c r="DXZ6" s="2888" t="s">
        <v>3241</v>
      </c>
      <c r="DYA6" s="2888" t="s">
        <v>3241</v>
      </c>
      <c r="DYB6" s="2888" t="s">
        <v>3241</v>
      </c>
      <c r="DYC6" s="2888" t="s">
        <v>3241</v>
      </c>
      <c r="DYD6" s="2888" t="s">
        <v>3241</v>
      </c>
      <c r="DYE6" s="2888" t="s">
        <v>3241</v>
      </c>
      <c r="DYF6" s="2888" t="s">
        <v>3241</v>
      </c>
      <c r="DYG6" s="2888" t="s">
        <v>3241</v>
      </c>
      <c r="DYH6" s="2888" t="s">
        <v>3241</v>
      </c>
      <c r="DYI6" s="2888" t="s">
        <v>3241</v>
      </c>
      <c r="DYJ6" s="2888" t="s">
        <v>3241</v>
      </c>
      <c r="DYK6" s="2888" t="s">
        <v>3241</v>
      </c>
      <c r="DYL6" s="2888" t="s">
        <v>3241</v>
      </c>
      <c r="DYM6" s="2888" t="s">
        <v>3241</v>
      </c>
      <c r="DYN6" s="2888" t="s">
        <v>3241</v>
      </c>
      <c r="DYO6" s="2888" t="s">
        <v>3241</v>
      </c>
      <c r="DYP6" s="2888" t="s">
        <v>3241</v>
      </c>
      <c r="DYQ6" s="2888" t="s">
        <v>3241</v>
      </c>
      <c r="DYR6" s="2888" t="s">
        <v>3241</v>
      </c>
      <c r="DYS6" s="2888" t="s">
        <v>3241</v>
      </c>
      <c r="DYT6" s="2888" t="s">
        <v>3241</v>
      </c>
      <c r="DYU6" s="2888" t="s">
        <v>3241</v>
      </c>
      <c r="DYV6" s="2888" t="s">
        <v>3241</v>
      </c>
      <c r="DYW6" s="2888" t="s">
        <v>3241</v>
      </c>
      <c r="DYX6" s="2888" t="s">
        <v>3241</v>
      </c>
      <c r="DYY6" s="2888" t="s">
        <v>3241</v>
      </c>
      <c r="DYZ6" s="2888" t="s">
        <v>3241</v>
      </c>
      <c r="DZA6" s="2888" t="s">
        <v>3241</v>
      </c>
      <c r="DZB6" s="2888" t="s">
        <v>3241</v>
      </c>
      <c r="DZC6" s="2888" t="s">
        <v>3241</v>
      </c>
      <c r="DZD6" s="2888" t="s">
        <v>3241</v>
      </c>
      <c r="DZE6" s="2888" t="s">
        <v>3241</v>
      </c>
      <c r="DZF6" s="2888" t="s">
        <v>3241</v>
      </c>
      <c r="DZG6" s="2888" t="s">
        <v>3241</v>
      </c>
      <c r="DZH6" s="2888" t="s">
        <v>3241</v>
      </c>
      <c r="DZI6" s="2888" t="s">
        <v>3241</v>
      </c>
      <c r="DZJ6" s="2888" t="s">
        <v>3241</v>
      </c>
      <c r="DZK6" s="2888" t="s">
        <v>3241</v>
      </c>
      <c r="DZL6" s="2888" t="s">
        <v>3241</v>
      </c>
      <c r="DZM6" s="2888" t="s">
        <v>3241</v>
      </c>
      <c r="DZN6" s="2888" t="s">
        <v>3241</v>
      </c>
      <c r="DZO6" s="2888" t="s">
        <v>3241</v>
      </c>
      <c r="DZP6" s="2888" t="s">
        <v>3241</v>
      </c>
      <c r="DZQ6" s="2888" t="s">
        <v>3241</v>
      </c>
      <c r="DZR6" s="2888" t="s">
        <v>3241</v>
      </c>
      <c r="DZS6" s="2888" t="s">
        <v>3241</v>
      </c>
      <c r="DZT6" s="2888" t="s">
        <v>3241</v>
      </c>
      <c r="DZU6" s="2888" t="s">
        <v>3241</v>
      </c>
      <c r="DZV6" s="2888" t="s">
        <v>3241</v>
      </c>
      <c r="DZW6" s="2888" t="s">
        <v>3241</v>
      </c>
      <c r="DZX6" s="2888" t="s">
        <v>3241</v>
      </c>
      <c r="DZY6" s="2888" t="s">
        <v>3241</v>
      </c>
      <c r="DZZ6" s="2888" t="s">
        <v>3241</v>
      </c>
      <c r="EAA6" s="2888" t="s">
        <v>3241</v>
      </c>
      <c r="EAB6" s="2888" t="s">
        <v>3241</v>
      </c>
      <c r="EAC6" s="2888" t="s">
        <v>3241</v>
      </c>
      <c r="EAD6" s="2888" t="s">
        <v>3241</v>
      </c>
      <c r="EAE6" s="2888" t="s">
        <v>3241</v>
      </c>
      <c r="EAF6" s="2888" t="s">
        <v>3241</v>
      </c>
      <c r="EAG6" s="2888" t="s">
        <v>3241</v>
      </c>
      <c r="EAH6" s="2888" t="s">
        <v>3241</v>
      </c>
      <c r="EAI6" s="2888" t="s">
        <v>3241</v>
      </c>
      <c r="EAJ6" s="2888" t="s">
        <v>3241</v>
      </c>
      <c r="EAK6" s="2888" t="s">
        <v>3241</v>
      </c>
      <c r="EAL6" s="2888" t="s">
        <v>3241</v>
      </c>
      <c r="EAM6" s="2888" t="s">
        <v>3241</v>
      </c>
      <c r="EAN6" s="2888" t="s">
        <v>3241</v>
      </c>
      <c r="EAO6" s="2888" t="s">
        <v>3241</v>
      </c>
      <c r="EAP6" s="2888" t="s">
        <v>3241</v>
      </c>
      <c r="EAQ6" s="2888" t="s">
        <v>3241</v>
      </c>
      <c r="EAR6" s="2888" t="s">
        <v>3241</v>
      </c>
      <c r="EAS6" s="2888" t="s">
        <v>3241</v>
      </c>
      <c r="EAT6" s="2888" t="s">
        <v>3241</v>
      </c>
      <c r="EAU6" s="2888" t="s">
        <v>3241</v>
      </c>
      <c r="EAV6" s="2888" t="s">
        <v>3241</v>
      </c>
      <c r="EAW6" s="2888" t="s">
        <v>3241</v>
      </c>
      <c r="EAX6" s="2888" t="s">
        <v>3241</v>
      </c>
      <c r="EAY6" s="2888" t="s">
        <v>3241</v>
      </c>
      <c r="EAZ6" s="2888" t="s">
        <v>3241</v>
      </c>
      <c r="EBA6" s="2888" t="s">
        <v>3241</v>
      </c>
      <c r="EBB6" s="2888" t="s">
        <v>3241</v>
      </c>
      <c r="EBC6" s="2888" t="s">
        <v>3241</v>
      </c>
      <c r="EBD6" s="2888" t="s">
        <v>3241</v>
      </c>
      <c r="EBE6" s="2888" t="s">
        <v>3241</v>
      </c>
      <c r="EBF6" s="2888" t="s">
        <v>3241</v>
      </c>
      <c r="EBG6" s="2888" t="s">
        <v>3241</v>
      </c>
      <c r="EBH6" s="2888" t="s">
        <v>3241</v>
      </c>
      <c r="EBI6" s="2888" t="s">
        <v>3241</v>
      </c>
      <c r="EBJ6" s="2888" t="s">
        <v>3241</v>
      </c>
      <c r="EBK6" s="2888" t="s">
        <v>3241</v>
      </c>
      <c r="EBL6" s="2888" t="s">
        <v>3241</v>
      </c>
      <c r="EBM6" s="2888" t="s">
        <v>3241</v>
      </c>
      <c r="EBN6" s="2888" t="s">
        <v>3241</v>
      </c>
      <c r="EBO6" s="2888" t="s">
        <v>3241</v>
      </c>
      <c r="EBP6" s="2888" t="s">
        <v>3241</v>
      </c>
      <c r="EBQ6" s="2888" t="s">
        <v>3241</v>
      </c>
      <c r="EBR6" s="2888" t="s">
        <v>3241</v>
      </c>
      <c r="EBS6" s="2888" t="s">
        <v>3241</v>
      </c>
      <c r="EBT6" s="2888" t="s">
        <v>3241</v>
      </c>
      <c r="EBU6" s="2888" t="s">
        <v>3241</v>
      </c>
      <c r="EBV6" s="2888" t="s">
        <v>3241</v>
      </c>
      <c r="EBW6" s="2888" t="s">
        <v>3241</v>
      </c>
      <c r="EBX6" s="2888" t="s">
        <v>3241</v>
      </c>
      <c r="EBY6" s="2888" t="s">
        <v>3241</v>
      </c>
      <c r="EBZ6" s="2888" t="s">
        <v>3241</v>
      </c>
      <c r="ECA6" s="2888" t="s">
        <v>3241</v>
      </c>
      <c r="ECB6" s="2888" t="s">
        <v>3241</v>
      </c>
      <c r="ECC6" s="2888" t="s">
        <v>3241</v>
      </c>
      <c r="ECD6" s="2888" t="s">
        <v>3241</v>
      </c>
      <c r="ECE6" s="2888" t="s">
        <v>3241</v>
      </c>
      <c r="ECF6" s="2888" t="s">
        <v>3241</v>
      </c>
      <c r="ECG6" s="2888" t="s">
        <v>3241</v>
      </c>
      <c r="ECH6" s="2888" t="s">
        <v>3241</v>
      </c>
      <c r="ECI6" s="2888" t="s">
        <v>3241</v>
      </c>
      <c r="ECJ6" s="2888" t="s">
        <v>3241</v>
      </c>
      <c r="ECK6" s="2888" t="s">
        <v>3241</v>
      </c>
      <c r="ECL6" s="2888" t="s">
        <v>3241</v>
      </c>
      <c r="ECM6" s="2888" t="s">
        <v>3241</v>
      </c>
      <c r="ECN6" s="2888" t="s">
        <v>3241</v>
      </c>
      <c r="ECO6" s="2888" t="s">
        <v>3241</v>
      </c>
      <c r="ECP6" s="2888" t="s">
        <v>3241</v>
      </c>
      <c r="ECQ6" s="2888" t="s">
        <v>3241</v>
      </c>
      <c r="ECR6" s="2888" t="s">
        <v>3241</v>
      </c>
      <c r="ECS6" s="2888" t="s">
        <v>3241</v>
      </c>
      <c r="ECT6" s="2888" t="s">
        <v>3241</v>
      </c>
      <c r="ECU6" s="2888" t="s">
        <v>3241</v>
      </c>
      <c r="ECV6" s="2888" t="s">
        <v>3241</v>
      </c>
      <c r="ECW6" s="2888" t="s">
        <v>3241</v>
      </c>
      <c r="ECX6" s="2888" t="s">
        <v>3241</v>
      </c>
      <c r="ECY6" s="2888" t="s">
        <v>3241</v>
      </c>
      <c r="ECZ6" s="2888" t="s">
        <v>3241</v>
      </c>
      <c r="EDA6" s="2888" t="s">
        <v>3241</v>
      </c>
      <c r="EDB6" s="2888" t="s">
        <v>3241</v>
      </c>
      <c r="EDC6" s="2888" t="s">
        <v>3241</v>
      </c>
      <c r="EDD6" s="2888" t="s">
        <v>3241</v>
      </c>
      <c r="EDE6" s="2888" t="s">
        <v>3241</v>
      </c>
      <c r="EDF6" s="2888" t="s">
        <v>3241</v>
      </c>
      <c r="EDG6" s="2888" t="s">
        <v>3241</v>
      </c>
      <c r="EDH6" s="2888" t="s">
        <v>3241</v>
      </c>
      <c r="EDI6" s="2888" t="s">
        <v>3241</v>
      </c>
      <c r="EDJ6" s="2888" t="s">
        <v>3241</v>
      </c>
      <c r="EDK6" s="2888" t="s">
        <v>3241</v>
      </c>
      <c r="EDL6" s="2888" t="s">
        <v>3241</v>
      </c>
      <c r="EDM6" s="2888" t="s">
        <v>3241</v>
      </c>
      <c r="EDN6" s="2888" t="s">
        <v>3241</v>
      </c>
      <c r="EDO6" s="2888" t="s">
        <v>3241</v>
      </c>
      <c r="EDP6" s="2888" t="s">
        <v>3241</v>
      </c>
      <c r="EDQ6" s="2888" t="s">
        <v>3241</v>
      </c>
      <c r="EDR6" s="2888" t="s">
        <v>3241</v>
      </c>
      <c r="EDS6" s="2888" t="s">
        <v>3241</v>
      </c>
      <c r="EDT6" s="2888" t="s">
        <v>3241</v>
      </c>
      <c r="EDU6" s="2888" t="s">
        <v>3241</v>
      </c>
      <c r="EDV6" s="2888" t="s">
        <v>3241</v>
      </c>
      <c r="EDW6" s="2888" t="s">
        <v>3241</v>
      </c>
      <c r="EDX6" s="2888" t="s">
        <v>3241</v>
      </c>
      <c r="EDY6" s="2888" t="s">
        <v>3241</v>
      </c>
      <c r="EDZ6" s="2888" t="s">
        <v>3241</v>
      </c>
      <c r="EEA6" s="2888" t="s">
        <v>3241</v>
      </c>
      <c r="EEB6" s="2888" t="s">
        <v>3241</v>
      </c>
      <c r="EEC6" s="2888" t="s">
        <v>3241</v>
      </c>
      <c r="EED6" s="2888" t="s">
        <v>3241</v>
      </c>
      <c r="EEE6" s="2888" t="s">
        <v>3241</v>
      </c>
      <c r="EEF6" s="2888" t="s">
        <v>3241</v>
      </c>
      <c r="EEG6" s="2888" t="s">
        <v>3241</v>
      </c>
      <c r="EEH6" s="2888" t="s">
        <v>3241</v>
      </c>
      <c r="EEI6" s="2888" t="s">
        <v>3241</v>
      </c>
      <c r="EEJ6" s="2888" t="s">
        <v>3241</v>
      </c>
      <c r="EEK6" s="2888" t="s">
        <v>3241</v>
      </c>
      <c r="EEL6" s="2888" t="s">
        <v>3241</v>
      </c>
      <c r="EEM6" s="2888" t="s">
        <v>3241</v>
      </c>
      <c r="EEN6" s="2888" t="s">
        <v>3241</v>
      </c>
      <c r="EEO6" s="2888" t="s">
        <v>3241</v>
      </c>
      <c r="EEP6" s="2888" t="s">
        <v>3241</v>
      </c>
      <c r="EEQ6" s="2888" t="s">
        <v>3241</v>
      </c>
      <c r="EER6" s="2888" t="s">
        <v>3241</v>
      </c>
      <c r="EES6" s="2888" t="s">
        <v>3241</v>
      </c>
      <c r="EET6" s="2888" t="s">
        <v>3241</v>
      </c>
      <c r="EEU6" s="2888" t="s">
        <v>3241</v>
      </c>
      <c r="EEV6" s="2888" t="s">
        <v>3241</v>
      </c>
      <c r="EEW6" s="2888" t="s">
        <v>3241</v>
      </c>
      <c r="EEX6" s="2888" t="s">
        <v>3241</v>
      </c>
      <c r="EEY6" s="2888" t="s">
        <v>3241</v>
      </c>
      <c r="EEZ6" s="2888" t="s">
        <v>3241</v>
      </c>
      <c r="EFA6" s="2888" t="s">
        <v>3241</v>
      </c>
      <c r="EFB6" s="2888" t="s">
        <v>3241</v>
      </c>
      <c r="EFC6" s="2888" t="s">
        <v>3241</v>
      </c>
      <c r="EFD6" s="2888" t="s">
        <v>3241</v>
      </c>
      <c r="EFE6" s="2888" t="s">
        <v>3241</v>
      </c>
      <c r="EFF6" s="2888" t="s">
        <v>3241</v>
      </c>
      <c r="EFG6" s="2888" t="s">
        <v>3241</v>
      </c>
      <c r="EFH6" s="2888" t="s">
        <v>3241</v>
      </c>
      <c r="EFI6" s="2888" t="s">
        <v>3241</v>
      </c>
      <c r="EFJ6" s="2888" t="s">
        <v>3241</v>
      </c>
      <c r="EFK6" s="2888" t="s">
        <v>3241</v>
      </c>
      <c r="EFL6" s="2888" t="s">
        <v>3241</v>
      </c>
      <c r="EFM6" s="2888" t="s">
        <v>3241</v>
      </c>
      <c r="EFN6" s="2888" t="s">
        <v>3241</v>
      </c>
      <c r="EFO6" s="2888" t="s">
        <v>3241</v>
      </c>
      <c r="EFP6" s="2888" t="s">
        <v>3241</v>
      </c>
      <c r="EFQ6" s="2888" t="s">
        <v>3241</v>
      </c>
      <c r="EFR6" s="2888" t="s">
        <v>3241</v>
      </c>
      <c r="EFS6" s="2888" t="s">
        <v>3241</v>
      </c>
      <c r="EFT6" s="2888" t="s">
        <v>3241</v>
      </c>
      <c r="EFU6" s="2888" t="s">
        <v>3241</v>
      </c>
      <c r="EFV6" s="2888" t="s">
        <v>3241</v>
      </c>
      <c r="EFW6" s="2888" t="s">
        <v>3241</v>
      </c>
      <c r="EFX6" s="2888" t="s">
        <v>3241</v>
      </c>
      <c r="EFY6" s="2888" t="s">
        <v>3241</v>
      </c>
      <c r="EFZ6" s="2888" t="s">
        <v>3241</v>
      </c>
      <c r="EGA6" s="2888" t="s">
        <v>3241</v>
      </c>
      <c r="EGB6" s="2888" t="s">
        <v>3241</v>
      </c>
      <c r="EGC6" s="2888" t="s">
        <v>3241</v>
      </c>
      <c r="EGD6" s="2888" t="s">
        <v>3241</v>
      </c>
      <c r="EGE6" s="2888" t="s">
        <v>3241</v>
      </c>
      <c r="EGF6" s="2888" t="s">
        <v>3241</v>
      </c>
      <c r="EGG6" s="2888" t="s">
        <v>3241</v>
      </c>
      <c r="EGH6" s="2888" t="s">
        <v>3241</v>
      </c>
      <c r="EGI6" s="2888" t="s">
        <v>3241</v>
      </c>
      <c r="EGJ6" s="2888" t="s">
        <v>3241</v>
      </c>
      <c r="EGK6" s="2888" t="s">
        <v>3241</v>
      </c>
      <c r="EGL6" s="2888" t="s">
        <v>3241</v>
      </c>
      <c r="EGM6" s="2888" t="s">
        <v>3241</v>
      </c>
      <c r="EGN6" s="2888" t="s">
        <v>3241</v>
      </c>
      <c r="EGO6" s="2888" t="s">
        <v>3241</v>
      </c>
      <c r="EGP6" s="2888" t="s">
        <v>3241</v>
      </c>
      <c r="EGQ6" s="2888" t="s">
        <v>3241</v>
      </c>
      <c r="EGR6" s="2888" t="s">
        <v>3241</v>
      </c>
      <c r="EGS6" s="2888" t="s">
        <v>3241</v>
      </c>
      <c r="EGT6" s="2888" t="s">
        <v>3241</v>
      </c>
      <c r="EGU6" s="2888" t="s">
        <v>3241</v>
      </c>
      <c r="EGV6" s="2888" t="s">
        <v>3241</v>
      </c>
      <c r="EGW6" s="2888" t="s">
        <v>3241</v>
      </c>
      <c r="EGX6" s="2888" t="s">
        <v>3241</v>
      </c>
      <c r="EGY6" s="2888" t="s">
        <v>3241</v>
      </c>
      <c r="EGZ6" s="2888" t="s">
        <v>3241</v>
      </c>
      <c r="EHA6" s="2888" t="s">
        <v>3241</v>
      </c>
      <c r="EHB6" s="2888" t="s">
        <v>3241</v>
      </c>
      <c r="EHC6" s="2888" t="s">
        <v>3241</v>
      </c>
      <c r="EHD6" s="2888" t="s">
        <v>3241</v>
      </c>
      <c r="EHE6" s="2888" t="s">
        <v>3241</v>
      </c>
      <c r="EHF6" s="2888" t="s">
        <v>3241</v>
      </c>
      <c r="EHG6" s="2888" t="s">
        <v>3241</v>
      </c>
      <c r="EHH6" s="2888" t="s">
        <v>3241</v>
      </c>
      <c r="EHI6" s="2888" t="s">
        <v>3241</v>
      </c>
      <c r="EHJ6" s="2888" t="s">
        <v>3241</v>
      </c>
      <c r="EHK6" s="2888" t="s">
        <v>3241</v>
      </c>
      <c r="EHL6" s="2888" t="s">
        <v>3241</v>
      </c>
      <c r="EHM6" s="2888" t="s">
        <v>3241</v>
      </c>
      <c r="EHN6" s="2888" t="s">
        <v>3241</v>
      </c>
      <c r="EHO6" s="2888" t="s">
        <v>3241</v>
      </c>
      <c r="EHP6" s="2888" t="s">
        <v>3241</v>
      </c>
      <c r="EHQ6" s="2888" t="s">
        <v>3241</v>
      </c>
      <c r="EHR6" s="2888" t="s">
        <v>3241</v>
      </c>
      <c r="EHS6" s="2888" t="s">
        <v>3241</v>
      </c>
      <c r="EHT6" s="2888" t="s">
        <v>3241</v>
      </c>
      <c r="EHU6" s="2888" t="s">
        <v>3241</v>
      </c>
      <c r="EHV6" s="2888" t="s">
        <v>3241</v>
      </c>
      <c r="EHW6" s="2888" t="s">
        <v>3241</v>
      </c>
      <c r="EHX6" s="2888" t="s">
        <v>3241</v>
      </c>
      <c r="EHY6" s="2888" t="s">
        <v>3241</v>
      </c>
      <c r="EHZ6" s="2888" t="s">
        <v>3241</v>
      </c>
      <c r="EIA6" s="2888" t="s">
        <v>3241</v>
      </c>
      <c r="EIB6" s="2888" t="s">
        <v>3241</v>
      </c>
      <c r="EIC6" s="2888" t="s">
        <v>3241</v>
      </c>
      <c r="EID6" s="2888" t="s">
        <v>3241</v>
      </c>
      <c r="EIE6" s="2888" t="s">
        <v>3241</v>
      </c>
      <c r="EIF6" s="2888" t="s">
        <v>3241</v>
      </c>
      <c r="EIG6" s="2888" t="s">
        <v>3241</v>
      </c>
      <c r="EIH6" s="2888" t="s">
        <v>3241</v>
      </c>
      <c r="EII6" s="2888" t="s">
        <v>3241</v>
      </c>
      <c r="EIJ6" s="2888" t="s">
        <v>3241</v>
      </c>
      <c r="EIK6" s="2888" t="s">
        <v>3241</v>
      </c>
      <c r="EIL6" s="2888" t="s">
        <v>3241</v>
      </c>
      <c r="EIM6" s="2888" t="s">
        <v>3241</v>
      </c>
      <c r="EIN6" s="2888" t="s">
        <v>3241</v>
      </c>
      <c r="EIO6" s="2888" t="s">
        <v>3241</v>
      </c>
      <c r="EIP6" s="2888" t="s">
        <v>3241</v>
      </c>
      <c r="EIQ6" s="2888" t="s">
        <v>3241</v>
      </c>
      <c r="EIR6" s="2888" t="s">
        <v>3241</v>
      </c>
      <c r="EIS6" s="2888" t="s">
        <v>3241</v>
      </c>
      <c r="EIT6" s="2888" t="s">
        <v>3241</v>
      </c>
      <c r="EIU6" s="2888" t="s">
        <v>3241</v>
      </c>
      <c r="EIV6" s="2888" t="s">
        <v>3241</v>
      </c>
      <c r="EIW6" s="2888" t="s">
        <v>3241</v>
      </c>
      <c r="EIX6" s="2888" t="s">
        <v>3241</v>
      </c>
      <c r="EIY6" s="2888" t="s">
        <v>3241</v>
      </c>
      <c r="EIZ6" s="2888" t="s">
        <v>3241</v>
      </c>
      <c r="EJA6" s="2888" t="s">
        <v>3241</v>
      </c>
      <c r="EJB6" s="2888" t="s">
        <v>3241</v>
      </c>
      <c r="EJC6" s="2888" t="s">
        <v>3241</v>
      </c>
      <c r="EJD6" s="2888" t="s">
        <v>3241</v>
      </c>
      <c r="EJE6" s="2888" t="s">
        <v>3241</v>
      </c>
      <c r="EJF6" s="2888" t="s">
        <v>3241</v>
      </c>
      <c r="EJG6" s="2888" t="s">
        <v>3241</v>
      </c>
      <c r="EJH6" s="2888" t="s">
        <v>3241</v>
      </c>
      <c r="EJI6" s="2888" t="s">
        <v>3241</v>
      </c>
      <c r="EJJ6" s="2888" t="s">
        <v>3241</v>
      </c>
      <c r="EJK6" s="2888" t="s">
        <v>3241</v>
      </c>
      <c r="EJL6" s="2888" t="s">
        <v>3241</v>
      </c>
      <c r="EJM6" s="2888" t="s">
        <v>3241</v>
      </c>
      <c r="EJN6" s="2888" t="s">
        <v>3241</v>
      </c>
      <c r="EJO6" s="2888" t="s">
        <v>3241</v>
      </c>
      <c r="EJP6" s="2888" t="s">
        <v>3241</v>
      </c>
      <c r="EJQ6" s="2888" t="s">
        <v>3241</v>
      </c>
      <c r="EJR6" s="2888" t="s">
        <v>3241</v>
      </c>
      <c r="EJS6" s="2888" t="s">
        <v>3241</v>
      </c>
      <c r="EJT6" s="2888" t="s">
        <v>3241</v>
      </c>
      <c r="EJU6" s="2888" t="s">
        <v>3241</v>
      </c>
      <c r="EJV6" s="2888" t="s">
        <v>3241</v>
      </c>
      <c r="EJW6" s="2888" t="s">
        <v>3241</v>
      </c>
      <c r="EJX6" s="2888" t="s">
        <v>3241</v>
      </c>
      <c r="EJY6" s="2888" t="s">
        <v>3241</v>
      </c>
      <c r="EJZ6" s="2888" t="s">
        <v>3241</v>
      </c>
      <c r="EKA6" s="2888" t="s">
        <v>3241</v>
      </c>
      <c r="EKB6" s="2888" t="s">
        <v>3241</v>
      </c>
      <c r="EKC6" s="2888" t="s">
        <v>3241</v>
      </c>
      <c r="EKD6" s="2888" t="s">
        <v>3241</v>
      </c>
      <c r="EKE6" s="2888" t="s">
        <v>3241</v>
      </c>
      <c r="EKF6" s="2888" t="s">
        <v>3241</v>
      </c>
      <c r="EKG6" s="2888" t="s">
        <v>3241</v>
      </c>
      <c r="EKH6" s="2888" t="s">
        <v>3241</v>
      </c>
      <c r="EKI6" s="2888" t="s">
        <v>3241</v>
      </c>
      <c r="EKJ6" s="2888" t="s">
        <v>3241</v>
      </c>
      <c r="EKK6" s="2888" t="s">
        <v>3241</v>
      </c>
      <c r="EKL6" s="2888" t="s">
        <v>3241</v>
      </c>
      <c r="EKM6" s="2888" t="s">
        <v>3241</v>
      </c>
      <c r="EKN6" s="2888" t="s">
        <v>3241</v>
      </c>
      <c r="EKO6" s="2888" t="s">
        <v>3241</v>
      </c>
      <c r="EKP6" s="2888" t="s">
        <v>3241</v>
      </c>
      <c r="EKQ6" s="2888" t="s">
        <v>3241</v>
      </c>
      <c r="EKR6" s="2888" t="s">
        <v>3241</v>
      </c>
      <c r="EKS6" s="2888" t="s">
        <v>3241</v>
      </c>
      <c r="EKT6" s="2888" t="s">
        <v>3241</v>
      </c>
      <c r="EKU6" s="2888" t="s">
        <v>3241</v>
      </c>
      <c r="EKV6" s="2888" t="s">
        <v>3241</v>
      </c>
      <c r="EKW6" s="2888" t="s">
        <v>3241</v>
      </c>
      <c r="EKX6" s="2888" t="s">
        <v>3241</v>
      </c>
      <c r="EKY6" s="2888" t="s">
        <v>3241</v>
      </c>
      <c r="EKZ6" s="2888" t="s">
        <v>3241</v>
      </c>
      <c r="ELA6" s="2888" t="s">
        <v>3241</v>
      </c>
      <c r="ELB6" s="2888" t="s">
        <v>3241</v>
      </c>
      <c r="ELC6" s="2888" t="s">
        <v>3241</v>
      </c>
      <c r="ELD6" s="2888" t="s">
        <v>3241</v>
      </c>
      <c r="ELE6" s="2888" t="s">
        <v>3241</v>
      </c>
      <c r="ELF6" s="2888" t="s">
        <v>3241</v>
      </c>
      <c r="ELG6" s="2888" t="s">
        <v>3241</v>
      </c>
      <c r="ELH6" s="2888" t="s">
        <v>3241</v>
      </c>
      <c r="ELI6" s="2888" t="s">
        <v>3241</v>
      </c>
      <c r="ELJ6" s="2888" t="s">
        <v>3241</v>
      </c>
      <c r="ELK6" s="2888" t="s">
        <v>3241</v>
      </c>
      <c r="ELL6" s="2888" t="s">
        <v>3241</v>
      </c>
      <c r="ELM6" s="2888" t="s">
        <v>3241</v>
      </c>
      <c r="ELN6" s="2888" t="s">
        <v>3241</v>
      </c>
      <c r="ELO6" s="2888" t="s">
        <v>3241</v>
      </c>
      <c r="ELP6" s="2888" t="s">
        <v>3241</v>
      </c>
      <c r="ELQ6" s="2888" t="s">
        <v>3241</v>
      </c>
      <c r="ELR6" s="2888" t="s">
        <v>3241</v>
      </c>
      <c r="ELS6" s="2888" t="s">
        <v>3241</v>
      </c>
      <c r="ELT6" s="2888" t="s">
        <v>3241</v>
      </c>
      <c r="ELU6" s="2888" t="s">
        <v>3241</v>
      </c>
      <c r="ELV6" s="2888" t="s">
        <v>3241</v>
      </c>
      <c r="ELW6" s="2888" t="s">
        <v>3241</v>
      </c>
      <c r="ELX6" s="2888" t="s">
        <v>3241</v>
      </c>
      <c r="ELY6" s="2888" t="s">
        <v>3241</v>
      </c>
      <c r="ELZ6" s="2888" t="s">
        <v>3241</v>
      </c>
      <c r="EMA6" s="2888" t="s">
        <v>3241</v>
      </c>
      <c r="EMB6" s="2888" t="s">
        <v>3241</v>
      </c>
      <c r="EMC6" s="2888" t="s">
        <v>3241</v>
      </c>
      <c r="EMD6" s="2888" t="s">
        <v>3241</v>
      </c>
      <c r="EME6" s="2888" t="s">
        <v>3241</v>
      </c>
      <c r="EMF6" s="2888" t="s">
        <v>3241</v>
      </c>
      <c r="EMG6" s="2888" t="s">
        <v>3241</v>
      </c>
      <c r="EMH6" s="2888" t="s">
        <v>3241</v>
      </c>
      <c r="EMI6" s="2888" t="s">
        <v>3241</v>
      </c>
      <c r="EMJ6" s="2888" t="s">
        <v>3241</v>
      </c>
      <c r="EMK6" s="2888" t="s">
        <v>3241</v>
      </c>
      <c r="EML6" s="2888" t="s">
        <v>3241</v>
      </c>
      <c r="EMM6" s="2888" t="s">
        <v>3241</v>
      </c>
      <c r="EMN6" s="2888" t="s">
        <v>3241</v>
      </c>
      <c r="EMO6" s="2888" t="s">
        <v>3241</v>
      </c>
      <c r="EMP6" s="2888" t="s">
        <v>3241</v>
      </c>
      <c r="EMQ6" s="2888" t="s">
        <v>3241</v>
      </c>
      <c r="EMR6" s="2888" t="s">
        <v>3241</v>
      </c>
      <c r="EMS6" s="2888" t="s">
        <v>3241</v>
      </c>
      <c r="EMT6" s="2888" t="s">
        <v>3241</v>
      </c>
      <c r="EMU6" s="2888" t="s">
        <v>3241</v>
      </c>
      <c r="EMV6" s="2888" t="s">
        <v>3241</v>
      </c>
      <c r="EMW6" s="2888" t="s">
        <v>3241</v>
      </c>
      <c r="EMX6" s="2888" t="s">
        <v>3241</v>
      </c>
      <c r="EMY6" s="2888" t="s">
        <v>3241</v>
      </c>
      <c r="EMZ6" s="2888" t="s">
        <v>3241</v>
      </c>
      <c r="ENA6" s="2888" t="s">
        <v>3241</v>
      </c>
      <c r="ENB6" s="2888" t="s">
        <v>3241</v>
      </c>
      <c r="ENC6" s="2888" t="s">
        <v>3241</v>
      </c>
      <c r="END6" s="2888" t="s">
        <v>3241</v>
      </c>
      <c r="ENE6" s="2888" t="s">
        <v>3241</v>
      </c>
      <c r="ENF6" s="2888" t="s">
        <v>3241</v>
      </c>
      <c r="ENG6" s="2888" t="s">
        <v>3241</v>
      </c>
      <c r="ENH6" s="2888" t="s">
        <v>3241</v>
      </c>
      <c r="ENI6" s="2888" t="s">
        <v>3241</v>
      </c>
      <c r="ENJ6" s="2888" t="s">
        <v>3241</v>
      </c>
      <c r="ENK6" s="2888" t="s">
        <v>3241</v>
      </c>
      <c r="ENL6" s="2888" t="s">
        <v>3241</v>
      </c>
      <c r="ENM6" s="2888" t="s">
        <v>3241</v>
      </c>
      <c r="ENN6" s="2888" t="s">
        <v>3241</v>
      </c>
      <c r="ENO6" s="2888" t="s">
        <v>3241</v>
      </c>
      <c r="ENP6" s="2888" t="s">
        <v>3241</v>
      </c>
      <c r="ENQ6" s="2888" t="s">
        <v>3241</v>
      </c>
      <c r="ENR6" s="2888" t="s">
        <v>3241</v>
      </c>
      <c r="ENS6" s="2888" t="s">
        <v>3241</v>
      </c>
      <c r="ENT6" s="2888" t="s">
        <v>3241</v>
      </c>
      <c r="ENU6" s="2888" t="s">
        <v>3241</v>
      </c>
      <c r="ENV6" s="2888" t="s">
        <v>3241</v>
      </c>
      <c r="ENW6" s="2888" t="s">
        <v>3241</v>
      </c>
      <c r="ENX6" s="2888" t="s">
        <v>3241</v>
      </c>
      <c r="ENY6" s="2888" t="s">
        <v>3241</v>
      </c>
      <c r="ENZ6" s="2888" t="s">
        <v>3241</v>
      </c>
      <c r="EOA6" s="2888" t="s">
        <v>3241</v>
      </c>
      <c r="EOB6" s="2888" t="s">
        <v>3241</v>
      </c>
      <c r="EOC6" s="2888" t="s">
        <v>3241</v>
      </c>
      <c r="EOD6" s="2888" t="s">
        <v>3241</v>
      </c>
      <c r="EOE6" s="2888" t="s">
        <v>3241</v>
      </c>
      <c r="EOF6" s="2888" t="s">
        <v>3241</v>
      </c>
      <c r="EOG6" s="2888" t="s">
        <v>3241</v>
      </c>
      <c r="EOH6" s="2888" t="s">
        <v>3241</v>
      </c>
      <c r="EOI6" s="2888" t="s">
        <v>3241</v>
      </c>
      <c r="EOJ6" s="2888" t="s">
        <v>3241</v>
      </c>
      <c r="EOK6" s="2888" t="s">
        <v>3241</v>
      </c>
      <c r="EOL6" s="2888" t="s">
        <v>3241</v>
      </c>
      <c r="EOM6" s="2888" t="s">
        <v>3241</v>
      </c>
      <c r="EON6" s="2888" t="s">
        <v>3241</v>
      </c>
      <c r="EOO6" s="2888" t="s">
        <v>3241</v>
      </c>
      <c r="EOP6" s="2888" t="s">
        <v>3241</v>
      </c>
      <c r="EOQ6" s="2888" t="s">
        <v>3241</v>
      </c>
      <c r="EOR6" s="2888" t="s">
        <v>3241</v>
      </c>
      <c r="EOS6" s="2888" t="s">
        <v>3241</v>
      </c>
      <c r="EOT6" s="2888" t="s">
        <v>3241</v>
      </c>
      <c r="EOU6" s="2888" t="s">
        <v>3241</v>
      </c>
      <c r="EOV6" s="2888" t="s">
        <v>3241</v>
      </c>
      <c r="EOW6" s="2888" t="s">
        <v>3241</v>
      </c>
      <c r="EOX6" s="2888" t="s">
        <v>3241</v>
      </c>
      <c r="EOY6" s="2888" t="s">
        <v>3241</v>
      </c>
      <c r="EOZ6" s="2888" t="s">
        <v>3241</v>
      </c>
      <c r="EPA6" s="2888" t="s">
        <v>3241</v>
      </c>
      <c r="EPB6" s="2888" t="s">
        <v>3241</v>
      </c>
      <c r="EPC6" s="2888" t="s">
        <v>3241</v>
      </c>
      <c r="EPD6" s="2888" t="s">
        <v>3241</v>
      </c>
      <c r="EPE6" s="2888" t="s">
        <v>3241</v>
      </c>
      <c r="EPF6" s="2888" t="s">
        <v>3241</v>
      </c>
      <c r="EPG6" s="2888" t="s">
        <v>3241</v>
      </c>
      <c r="EPH6" s="2888" t="s">
        <v>3241</v>
      </c>
      <c r="EPI6" s="2888" t="s">
        <v>3241</v>
      </c>
      <c r="EPJ6" s="2888" t="s">
        <v>3241</v>
      </c>
      <c r="EPK6" s="2888" t="s">
        <v>3241</v>
      </c>
      <c r="EPL6" s="2888" t="s">
        <v>3241</v>
      </c>
      <c r="EPM6" s="2888" t="s">
        <v>3241</v>
      </c>
      <c r="EPN6" s="2888" t="s">
        <v>3241</v>
      </c>
      <c r="EPO6" s="2888" t="s">
        <v>3241</v>
      </c>
      <c r="EPP6" s="2888" t="s">
        <v>3241</v>
      </c>
      <c r="EPQ6" s="2888" t="s">
        <v>3241</v>
      </c>
      <c r="EPR6" s="2888" t="s">
        <v>3241</v>
      </c>
      <c r="EPS6" s="2888" t="s">
        <v>3241</v>
      </c>
      <c r="EPT6" s="2888" t="s">
        <v>3241</v>
      </c>
      <c r="EPU6" s="2888" t="s">
        <v>3241</v>
      </c>
      <c r="EPV6" s="2888" t="s">
        <v>3241</v>
      </c>
      <c r="EPW6" s="2888" t="s">
        <v>3241</v>
      </c>
      <c r="EPX6" s="2888" t="s">
        <v>3241</v>
      </c>
      <c r="EPY6" s="2888" t="s">
        <v>3241</v>
      </c>
      <c r="EPZ6" s="2888" t="s">
        <v>3241</v>
      </c>
      <c r="EQA6" s="2888" t="s">
        <v>3241</v>
      </c>
      <c r="EQB6" s="2888" t="s">
        <v>3241</v>
      </c>
      <c r="EQC6" s="2888" t="s">
        <v>3241</v>
      </c>
      <c r="EQD6" s="2888" t="s">
        <v>3241</v>
      </c>
      <c r="EQE6" s="2888" t="s">
        <v>3241</v>
      </c>
      <c r="EQF6" s="2888" t="s">
        <v>3241</v>
      </c>
      <c r="EQG6" s="2888" t="s">
        <v>3241</v>
      </c>
      <c r="EQH6" s="2888" t="s">
        <v>3241</v>
      </c>
      <c r="EQI6" s="2888" t="s">
        <v>3241</v>
      </c>
      <c r="EQJ6" s="2888" t="s">
        <v>3241</v>
      </c>
      <c r="EQK6" s="2888" t="s">
        <v>3241</v>
      </c>
      <c r="EQL6" s="2888" t="s">
        <v>3241</v>
      </c>
      <c r="EQM6" s="2888" t="s">
        <v>3241</v>
      </c>
      <c r="EQN6" s="2888" t="s">
        <v>3241</v>
      </c>
      <c r="EQO6" s="2888" t="s">
        <v>3241</v>
      </c>
      <c r="EQP6" s="2888" t="s">
        <v>3241</v>
      </c>
      <c r="EQQ6" s="2888" t="s">
        <v>3241</v>
      </c>
      <c r="EQR6" s="2888" t="s">
        <v>3241</v>
      </c>
      <c r="EQS6" s="2888" t="s">
        <v>3241</v>
      </c>
      <c r="EQT6" s="2888" t="s">
        <v>3241</v>
      </c>
      <c r="EQU6" s="2888" t="s">
        <v>3241</v>
      </c>
      <c r="EQV6" s="2888" t="s">
        <v>3241</v>
      </c>
      <c r="EQW6" s="2888" t="s">
        <v>3241</v>
      </c>
      <c r="EQX6" s="2888" t="s">
        <v>3241</v>
      </c>
      <c r="EQY6" s="2888" t="s">
        <v>3241</v>
      </c>
      <c r="EQZ6" s="2888" t="s">
        <v>3241</v>
      </c>
      <c r="ERA6" s="2888" t="s">
        <v>3241</v>
      </c>
      <c r="ERB6" s="2888" t="s">
        <v>3241</v>
      </c>
      <c r="ERC6" s="2888" t="s">
        <v>3241</v>
      </c>
      <c r="ERD6" s="2888" t="s">
        <v>3241</v>
      </c>
      <c r="ERE6" s="2888" t="s">
        <v>3241</v>
      </c>
      <c r="ERF6" s="2888" t="s">
        <v>3241</v>
      </c>
      <c r="ERG6" s="2888" t="s">
        <v>3241</v>
      </c>
      <c r="ERH6" s="2888" t="s">
        <v>3241</v>
      </c>
      <c r="ERI6" s="2888" t="s">
        <v>3241</v>
      </c>
      <c r="ERJ6" s="2888" t="s">
        <v>3241</v>
      </c>
      <c r="ERK6" s="2888" t="s">
        <v>3241</v>
      </c>
      <c r="ERL6" s="2888" t="s">
        <v>3241</v>
      </c>
      <c r="ERM6" s="2888" t="s">
        <v>3241</v>
      </c>
      <c r="ERN6" s="2888" t="s">
        <v>3241</v>
      </c>
      <c r="ERO6" s="2888" t="s">
        <v>3241</v>
      </c>
      <c r="ERP6" s="2888" t="s">
        <v>3241</v>
      </c>
      <c r="ERQ6" s="2888" t="s">
        <v>3241</v>
      </c>
      <c r="ERR6" s="2888" t="s">
        <v>3241</v>
      </c>
      <c r="ERS6" s="2888" t="s">
        <v>3241</v>
      </c>
      <c r="ERT6" s="2888" t="s">
        <v>3241</v>
      </c>
      <c r="ERU6" s="2888" t="s">
        <v>3241</v>
      </c>
      <c r="ERV6" s="2888" t="s">
        <v>3241</v>
      </c>
      <c r="ERW6" s="2888" t="s">
        <v>3241</v>
      </c>
      <c r="ERX6" s="2888" t="s">
        <v>3241</v>
      </c>
      <c r="ERY6" s="2888" t="s">
        <v>3241</v>
      </c>
      <c r="ERZ6" s="2888" t="s">
        <v>3241</v>
      </c>
      <c r="ESA6" s="2888" t="s">
        <v>3241</v>
      </c>
      <c r="ESB6" s="2888" t="s">
        <v>3241</v>
      </c>
      <c r="ESC6" s="2888" t="s">
        <v>3241</v>
      </c>
      <c r="ESD6" s="2888" t="s">
        <v>3241</v>
      </c>
      <c r="ESE6" s="2888" t="s">
        <v>3241</v>
      </c>
      <c r="ESF6" s="2888" t="s">
        <v>3241</v>
      </c>
      <c r="ESG6" s="2888" t="s">
        <v>3241</v>
      </c>
      <c r="ESH6" s="2888" t="s">
        <v>3241</v>
      </c>
      <c r="ESI6" s="2888" t="s">
        <v>3241</v>
      </c>
      <c r="ESJ6" s="2888" t="s">
        <v>3241</v>
      </c>
      <c r="ESK6" s="2888" t="s">
        <v>3241</v>
      </c>
      <c r="ESL6" s="2888" t="s">
        <v>3241</v>
      </c>
      <c r="ESM6" s="2888" t="s">
        <v>3241</v>
      </c>
      <c r="ESN6" s="2888" t="s">
        <v>3241</v>
      </c>
      <c r="ESO6" s="2888" t="s">
        <v>3241</v>
      </c>
      <c r="ESP6" s="2888" t="s">
        <v>3241</v>
      </c>
      <c r="ESQ6" s="2888" t="s">
        <v>3241</v>
      </c>
      <c r="ESR6" s="2888" t="s">
        <v>3241</v>
      </c>
      <c r="ESS6" s="2888" t="s">
        <v>3241</v>
      </c>
      <c r="EST6" s="2888" t="s">
        <v>3241</v>
      </c>
      <c r="ESU6" s="2888" t="s">
        <v>3241</v>
      </c>
      <c r="ESV6" s="2888" t="s">
        <v>3241</v>
      </c>
      <c r="ESW6" s="2888" t="s">
        <v>3241</v>
      </c>
      <c r="ESX6" s="2888" t="s">
        <v>3241</v>
      </c>
      <c r="ESY6" s="2888" t="s">
        <v>3241</v>
      </c>
      <c r="ESZ6" s="2888" t="s">
        <v>3241</v>
      </c>
      <c r="ETA6" s="2888" t="s">
        <v>3241</v>
      </c>
      <c r="ETB6" s="2888" t="s">
        <v>3241</v>
      </c>
      <c r="ETC6" s="2888" t="s">
        <v>3241</v>
      </c>
      <c r="ETD6" s="2888" t="s">
        <v>3241</v>
      </c>
      <c r="ETE6" s="2888" t="s">
        <v>3241</v>
      </c>
      <c r="ETF6" s="2888" t="s">
        <v>3241</v>
      </c>
      <c r="ETG6" s="2888" t="s">
        <v>3241</v>
      </c>
      <c r="ETH6" s="2888" t="s">
        <v>3241</v>
      </c>
      <c r="ETI6" s="2888" t="s">
        <v>3241</v>
      </c>
      <c r="ETJ6" s="2888" t="s">
        <v>3241</v>
      </c>
      <c r="ETK6" s="2888" t="s">
        <v>3241</v>
      </c>
      <c r="ETL6" s="2888" t="s">
        <v>3241</v>
      </c>
      <c r="ETM6" s="2888" t="s">
        <v>3241</v>
      </c>
      <c r="ETN6" s="2888" t="s">
        <v>3241</v>
      </c>
      <c r="ETO6" s="2888" t="s">
        <v>3241</v>
      </c>
      <c r="ETP6" s="2888" t="s">
        <v>3241</v>
      </c>
      <c r="ETQ6" s="2888" t="s">
        <v>3241</v>
      </c>
      <c r="ETR6" s="2888" t="s">
        <v>3241</v>
      </c>
      <c r="ETS6" s="2888" t="s">
        <v>3241</v>
      </c>
      <c r="ETT6" s="2888" t="s">
        <v>3241</v>
      </c>
      <c r="ETU6" s="2888" t="s">
        <v>3241</v>
      </c>
      <c r="ETV6" s="2888" t="s">
        <v>3241</v>
      </c>
      <c r="ETW6" s="2888" t="s">
        <v>3241</v>
      </c>
      <c r="ETX6" s="2888" t="s">
        <v>3241</v>
      </c>
      <c r="ETY6" s="2888" t="s">
        <v>3241</v>
      </c>
      <c r="ETZ6" s="2888" t="s">
        <v>3241</v>
      </c>
      <c r="EUA6" s="2888" t="s">
        <v>3241</v>
      </c>
      <c r="EUB6" s="2888" t="s">
        <v>3241</v>
      </c>
      <c r="EUC6" s="2888" t="s">
        <v>3241</v>
      </c>
      <c r="EUD6" s="2888" t="s">
        <v>3241</v>
      </c>
      <c r="EUE6" s="2888" t="s">
        <v>3241</v>
      </c>
      <c r="EUF6" s="2888" t="s">
        <v>3241</v>
      </c>
      <c r="EUG6" s="2888" t="s">
        <v>3241</v>
      </c>
      <c r="EUH6" s="2888" t="s">
        <v>3241</v>
      </c>
      <c r="EUI6" s="2888" t="s">
        <v>3241</v>
      </c>
      <c r="EUJ6" s="2888" t="s">
        <v>3241</v>
      </c>
      <c r="EUK6" s="2888" t="s">
        <v>3241</v>
      </c>
      <c r="EUL6" s="2888" t="s">
        <v>3241</v>
      </c>
      <c r="EUM6" s="2888" t="s">
        <v>3241</v>
      </c>
      <c r="EUN6" s="2888" t="s">
        <v>3241</v>
      </c>
      <c r="EUO6" s="2888" t="s">
        <v>3241</v>
      </c>
      <c r="EUP6" s="2888" t="s">
        <v>3241</v>
      </c>
      <c r="EUQ6" s="2888" t="s">
        <v>3241</v>
      </c>
      <c r="EUR6" s="2888" t="s">
        <v>3241</v>
      </c>
      <c r="EUS6" s="2888" t="s">
        <v>3241</v>
      </c>
      <c r="EUT6" s="2888" t="s">
        <v>3241</v>
      </c>
      <c r="EUU6" s="2888" t="s">
        <v>3241</v>
      </c>
      <c r="EUV6" s="2888" t="s">
        <v>3241</v>
      </c>
      <c r="EUW6" s="2888" t="s">
        <v>3241</v>
      </c>
      <c r="EUX6" s="2888" t="s">
        <v>3241</v>
      </c>
      <c r="EUY6" s="2888" t="s">
        <v>3241</v>
      </c>
      <c r="EUZ6" s="2888" t="s">
        <v>3241</v>
      </c>
      <c r="EVA6" s="2888" t="s">
        <v>3241</v>
      </c>
      <c r="EVB6" s="2888" t="s">
        <v>3241</v>
      </c>
      <c r="EVC6" s="2888" t="s">
        <v>3241</v>
      </c>
      <c r="EVD6" s="2888" t="s">
        <v>3241</v>
      </c>
      <c r="EVE6" s="2888" t="s">
        <v>3241</v>
      </c>
      <c r="EVF6" s="2888" t="s">
        <v>3241</v>
      </c>
      <c r="EVG6" s="2888" t="s">
        <v>3241</v>
      </c>
      <c r="EVH6" s="2888" t="s">
        <v>3241</v>
      </c>
      <c r="EVI6" s="2888" t="s">
        <v>3241</v>
      </c>
      <c r="EVJ6" s="2888" t="s">
        <v>3241</v>
      </c>
      <c r="EVK6" s="2888" t="s">
        <v>3241</v>
      </c>
      <c r="EVL6" s="2888" t="s">
        <v>3241</v>
      </c>
      <c r="EVM6" s="2888" t="s">
        <v>3241</v>
      </c>
      <c r="EVN6" s="2888" t="s">
        <v>3241</v>
      </c>
      <c r="EVO6" s="2888" t="s">
        <v>3241</v>
      </c>
      <c r="EVP6" s="2888" t="s">
        <v>3241</v>
      </c>
      <c r="EVQ6" s="2888" t="s">
        <v>3241</v>
      </c>
      <c r="EVR6" s="2888" t="s">
        <v>3241</v>
      </c>
      <c r="EVS6" s="2888" t="s">
        <v>3241</v>
      </c>
      <c r="EVT6" s="2888" t="s">
        <v>3241</v>
      </c>
      <c r="EVU6" s="2888" t="s">
        <v>3241</v>
      </c>
      <c r="EVV6" s="2888" t="s">
        <v>3241</v>
      </c>
      <c r="EVW6" s="2888" t="s">
        <v>3241</v>
      </c>
      <c r="EVX6" s="2888" t="s">
        <v>3241</v>
      </c>
      <c r="EVY6" s="2888" t="s">
        <v>3241</v>
      </c>
      <c r="EVZ6" s="2888" t="s">
        <v>3241</v>
      </c>
      <c r="EWA6" s="2888" t="s">
        <v>3241</v>
      </c>
      <c r="EWB6" s="2888" t="s">
        <v>3241</v>
      </c>
      <c r="EWC6" s="2888" t="s">
        <v>3241</v>
      </c>
      <c r="EWD6" s="2888" t="s">
        <v>3241</v>
      </c>
      <c r="EWE6" s="2888" t="s">
        <v>3241</v>
      </c>
      <c r="EWF6" s="2888" t="s">
        <v>3241</v>
      </c>
      <c r="EWG6" s="2888" t="s">
        <v>3241</v>
      </c>
      <c r="EWH6" s="2888" t="s">
        <v>3241</v>
      </c>
      <c r="EWI6" s="2888" t="s">
        <v>3241</v>
      </c>
      <c r="EWJ6" s="2888" t="s">
        <v>3241</v>
      </c>
      <c r="EWK6" s="2888" t="s">
        <v>3241</v>
      </c>
      <c r="EWL6" s="2888" t="s">
        <v>3241</v>
      </c>
      <c r="EWM6" s="2888" t="s">
        <v>3241</v>
      </c>
      <c r="EWN6" s="2888" t="s">
        <v>3241</v>
      </c>
      <c r="EWO6" s="2888" t="s">
        <v>3241</v>
      </c>
      <c r="EWP6" s="2888" t="s">
        <v>3241</v>
      </c>
      <c r="EWQ6" s="2888" t="s">
        <v>3241</v>
      </c>
      <c r="EWR6" s="2888" t="s">
        <v>3241</v>
      </c>
      <c r="EWS6" s="2888" t="s">
        <v>3241</v>
      </c>
      <c r="EWT6" s="2888" t="s">
        <v>3241</v>
      </c>
      <c r="EWU6" s="2888" t="s">
        <v>3241</v>
      </c>
      <c r="EWV6" s="2888" t="s">
        <v>3241</v>
      </c>
      <c r="EWW6" s="2888" t="s">
        <v>3241</v>
      </c>
      <c r="EWX6" s="2888" t="s">
        <v>3241</v>
      </c>
      <c r="EWY6" s="2888" t="s">
        <v>3241</v>
      </c>
      <c r="EWZ6" s="2888" t="s">
        <v>3241</v>
      </c>
      <c r="EXA6" s="2888" t="s">
        <v>3241</v>
      </c>
      <c r="EXB6" s="2888" t="s">
        <v>3241</v>
      </c>
      <c r="EXC6" s="2888" t="s">
        <v>3241</v>
      </c>
      <c r="EXD6" s="2888" t="s">
        <v>3241</v>
      </c>
      <c r="EXE6" s="2888" t="s">
        <v>3241</v>
      </c>
      <c r="EXF6" s="2888" t="s">
        <v>3241</v>
      </c>
      <c r="EXG6" s="2888" t="s">
        <v>3241</v>
      </c>
      <c r="EXH6" s="2888" t="s">
        <v>3241</v>
      </c>
      <c r="EXI6" s="2888" t="s">
        <v>3241</v>
      </c>
      <c r="EXJ6" s="2888" t="s">
        <v>3241</v>
      </c>
      <c r="EXK6" s="2888" t="s">
        <v>3241</v>
      </c>
      <c r="EXL6" s="2888" t="s">
        <v>3241</v>
      </c>
      <c r="EXM6" s="2888" t="s">
        <v>3241</v>
      </c>
      <c r="EXN6" s="2888" t="s">
        <v>3241</v>
      </c>
      <c r="EXO6" s="2888" t="s">
        <v>3241</v>
      </c>
      <c r="EXP6" s="2888" t="s">
        <v>3241</v>
      </c>
      <c r="EXQ6" s="2888" t="s">
        <v>3241</v>
      </c>
      <c r="EXR6" s="2888" t="s">
        <v>3241</v>
      </c>
      <c r="EXS6" s="2888" t="s">
        <v>3241</v>
      </c>
      <c r="EXT6" s="2888" t="s">
        <v>3241</v>
      </c>
      <c r="EXU6" s="2888" t="s">
        <v>3241</v>
      </c>
      <c r="EXV6" s="2888" t="s">
        <v>3241</v>
      </c>
      <c r="EXW6" s="2888" t="s">
        <v>3241</v>
      </c>
      <c r="EXX6" s="2888" t="s">
        <v>3241</v>
      </c>
      <c r="EXY6" s="2888" t="s">
        <v>3241</v>
      </c>
      <c r="EXZ6" s="2888" t="s">
        <v>3241</v>
      </c>
      <c r="EYA6" s="2888" t="s">
        <v>3241</v>
      </c>
      <c r="EYB6" s="2888" t="s">
        <v>3241</v>
      </c>
      <c r="EYC6" s="2888" t="s">
        <v>3241</v>
      </c>
      <c r="EYD6" s="2888" t="s">
        <v>3241</v>
      </c>
      <c r="EYE6" s="2888" t="s">
        <v>3241</v>
      </c>
      <c r="EYF6" s="2888" t="s">
        <v>3241</v>
      </c>
      <c r="EYG6" s="2888" t="s">
        <v>3241</v>
      </c>
      <c r="EYH6" s="2888" t="s">
        <v>3241</v>
      </c>
      <c r="EYI6" s="2888" t="s">
        <v>3241</v>
      </c>
      <c r="EYJ6" s="2888" t="s">
        <v>3241</v>
      </c>
      <c r="EYK6" s="2888" t="s">
        <v>3241</v>
      </c>
      <c r="EYL6" s="2888" t="s">
        <v>3241</v>
      </c>
      <c r="EYM6" s="2888" t="s">
        <v>3241</v>
      </c>
      <c r="EYN6" s="2888" t="s">
        <v>3241</v>
      </c>
      <c r="EYO6" s="2888" t="s">
        <v>3241</v>
      </c>
      <c r="EYP6" s="2888" t="s">
        <v>3241</v>
      </c>
      <c r="EYQ6" s="2888" t="s">
        <v>3241</v>
      </c>
      <c r="EYR6" s="2888" t="s">
        <v>3241</v>
      </c>
      <c r="EYS6" s="2888" t="s">
        <v>3241</v>
      </c>
      <c r="EYT6" s="2888" t="s">
        <v>3241</v>
      </c>
      <c r="EYU6" s="2888" t="s">
        <v>3241</v>
      </c>
      <c r="EYV6" s="2888" t="s">
        <v>3241</v>
      </c>
      <c r="EYW6" s="2888" t="s">
        <v>3241</v>
      </c>
      <c r="EYX6" s="2888" t="s">
        <v>3241</v>
      </c>
      <c r="EYY6" s="2888" t="s">
        <v>3241</v>
      </c>
      <c r="EYZ6" s="2888" t="s">
        <v>3241</v>
      </c>
      <c r="EZA6" s="2888" t="s">
        <v>3241</v>
      </c>
      <c r="EZB6" s="2888" t="s">
        <v>3241</v>
      </c>
      <c r="EZC6" s="2888" t="s">
        <v>3241</v>
      </c>
      <c r="EZD6" s="2888" t="s">
        <v>3241</v>
      </c>
      <c r="EZE6" s="2888" t="s">
        <v>3241</v>
      </c>
      <c r="EZF6" s="2888" t="s">
        <v>3241</v>
      </c>
      <c r="EZG6" s="2888" t="s">
        <v>3241</v>
      </c>
      <c r="EZH6" s="2888" t="s">
        <v>3241</v>
      </c>
      <c r="EZI6" s="2888" t="s">
        <v>3241</v>
      </c>
      <c r="EZJ6" s="2888" t="s">
        <v>3241</v>
      </c>
      <c r="EZK6" s="2888" t="s">
        <v>3241</v>
      </c>
      <c r="EZL6" s="2888" t="s">
        <v>3241</v>
      </c>
      <c r="EZM6" s="2888" t="s">
        <v>3241</v>
      </c>
      <c r="EZN6" s="2888" t="s">
        <v>3241</v>
      </c>
      <c r="EZO6" s="2888" t="s">
        <v>3241</v>
      </c>
      <c r="EZP6" s="2888" t="s">
        <v>3241</v>
      </c>
      <c r="EZQ6" s="2888" t="s">
        <v>3241</v>
      </c>
      <c r="EZR6" s="2888" t="s">
        <v>3241</v>
      </c>
      <c r="EZS6" s="2888" t="s">
        <v>3241</v>
      </c>
      <c r="EZT6" s="2888" t="s">
        <v>3241</v>
      </c>
      <c r="EZU6" s="2888" t="s">
        <v>3241</v>
      </c>
      <c r="EZV6" s="2888" t="s">
        <v>3241</v>
      </c>
      <c r="EZW6" s="2888" t="s">
        <v>3241</v>
      </c>
      <c r="EZX6" s="2888" t="s">
        <v>3241</v>
      </c>
      <c r="EZY6" s="2888" t="s">
        <v>3241</v>
      </c>
      <c r="EZZ6" s="2888" t="s">
        <v>3241</v>
      </c>
      <c r="FAA6" s="2888" t="s">
        <v>3241</v>
      </c>
      <c r="FAB6" s="2888" t="s">
        <v>3241</v>
      </c>
      <c r="FAC6" s="2888" t="s">
        <v>3241</v>
      </c>
      <c r="FAD6" s="2888" t="s">
        <v>3241</v>
      </c>
      <c r="FAE6" s="2888" t="s">
        <v>3241</v>
      </c>
      <c r="FAF6" s="2888" t="s">
        <v>3241</v>
      </c>
      <c r="FAG6" s="2888" t="s">
        <v>3241</v>
      </c>
      <c r="FAH6" s="2888" t="s">
        <v>3241</v>
      </c>
      <c r="FAI6" s="2888" t="s">
        <v>3241</v>
      </c>
      <c r="FAJ6" s="2888" t="s">
        <v>3241</v>
      </c>
      <c r="FAK6" s="2888" t="s">
        <v>3241</v>
      </c>
      <c r="FAL6" s="2888" t="s">
        <v>3241</v>
      </c>
      <c r="FAM6" s="2888" t="s">
        <v>3241</v>
      </c>
      <c r="FAN6" s="2888" t="s">
        <v>3241</v>
      </c>
      <c r="FAO6" s="2888" t="s">
        <v>3241</v>
      </c>
      <c r="FAP6" s="2888" t="s">
        <v>3241</v>
      </c>
      <c r="FAQ6" s="2888" t="s">
        <v>3241</v>
      </c>
      <c r="FAR6" s="2888" t="s">
        <v>3241</v>
      </c>
      <c r="FAS6" s="2888" t="s">
        <v>3241</v>
      </c>
      <c r="FAT6" s="2888" t="s">
        <v>3241</v>
      </c>
      <c r="FAU6" s="2888" t="s">
        <v>3241</v>
      </c>
      <c r="FAV6" s="2888" t="s">
        <v>3241</v>
      </c>
      <c r="FAW6" s="2888" t="s">
        <v>3241</v>
      </c>
      <c r="FAX6" s="2888" t="s">
        <v>3241</v>
      </c>
      <c r="FAY6" s="2888" t="s">
        <v>3241</v>
      </c>
      <c r="FAZ6" s="2888" t="s">
        <v>3241</v>
      </c>
      <c r="FBA6" s="2888" t="s">
        <v>3241</v>
      </c>
      <c r="FBB6" s="2888" t="s">
        <v>3241</v>
      </c>
      <c r="FBC6" s="2888" t="s">
        <v>3241</v>
      </c>
      <c r="FBD6" s="2888" t="s">
        <v>3241</v>
      </c>
      <c r="FBE6" s="2888" t="s">
        <v>3241</v>
      </c>
      <c r="FBF6" s="2888" t="s">
        <v>3241</v>
      </c>
      <c r="FBG6" s="2888" t="s">
        <v>3241</v>
      </c>
      <c r="FBH6" s="2888" t="s">
        <v>3241</v>
      </c>
      <c r="FBI6" s="2888" t="s">
        <v>3241</v>
      </c>
      <c r="FBJ6" s="2888" t="s">
        <v>3241</v>
      </c>
      <c r="FBK6" s="2888" t="s">
        <v>3241</v>
      </c>
      <c r="FBL6" s="2888" t="s">
        <v>3241</v>
      </c>
      <c r="FBM6" s="2888" t="s">
        <v>3241</v>
      </c>
      <c r="FBN6" s="2888" t="s">
        <v>3241</v>
      </c>
      <c r="FBO6" s="2888" t="s">
        <v>3241</v>
      </c>
      <c r="FBP6" s="2888" t="s">
        <v>3241</v>
      </c>
      <c r="FBQ6" s="2888" t="s">
        <v>3241</v>
      </c>
      <c r="FBR6" s="2888" t="s">
        <v>3241</v>
      </c>
      <c r="FBS6" s="2888" t="s">
        <v>3241</v>
      </c>
      <c r="FBT6" s="2888" t="s">
        <v>3241</v>
      </c>
      <c r="FBU6" s="2888" t="s">
        <v>3241</v>
      </c>
      <c r="FBV6" s="2888" t="s">
        <v>3241</v>
      </c>
      <c r="FBW6" s="2888" t="s">
        <v>3241</v>
      </c>
      <c r="FBX6" s="2888" t="s">
        <v>3241</v>
      </c>
      <c r="FBY6" s="2888" t="s">
        <v>3241</v>
      </c>
      <c r="FBZ6" s="2888" t="s">
        <v>3241</v>
      </c>
      <c r="FCA6" s="2888" t="s">
        <v>3241</v>
      </c>
      <c r="FCB6" s="2888" t="s">
        <v>3241</v>
      </c>
      <c r="FCC6" s="2888" t="s">
        <v>3241</v>
      </c>
      <c r="FCD6" s="2888" t="s">
        <v>3241</v>
      </c>
      <c r="FCE6" s="2888" t="s">
        <v>3241</v>
      </c>
      <c r="FCF6" s="2888" t="s">
        <v>3241</v>
      </c>
      <c r="FCG6" s="2888" t="s">
        <v>3241</v>
      </c>
      <c r="FCH6" s="2888" t="s">
        <v>3241</v>
      </c>
      <c r="FCI6" s="2888" t="s">
        <v>3241</v>
      </c>
      <c r="FCJ6" s="2888" t="s">
        <v>3241</v>
      </c>
      <c r="FCK6" s="2888" t="s">
        <v>3241</v>
      </c>
      <c r="FCL6" s="2888" t="s">
        <v>3241</v>
      </c>
      <c r="FCM6" s="2888" t="s">
        <v>3241</v>
      </c>
      <c r="FCN6" s="2888" t="s">
        <v>3241</v>
      </c>
      <c r="FCO6" s="2888" t="s">
        <v>3241</v>
      </c>
      <c r="FCP6" s="2888" t="s">
        <v>3241</v>
      </c>
      <c r="FCQ6" s="2888" t="s">
        <v>3241</v>
      </c>
      <c r="FCR6" s="2888" t="s">
        <v>3241</v>
      </c>
      <c r="FCS6" s="2888" t="s">
        <v>3241</v>
      </c>
      <c r="FCT6" s="2888" t="s">
        <v>3241</v>
      </c>
      <c r="FCU6" s="2888" t="s">
        <v>3241</v>
      </c>
      <c r="FCV6" s="2888" t="s">
        <v>3241</v>
      </c>
      <c r="FCW6" s="2888" t="s">
        <v>3241</v>
      </c>
      <c r="FCX6" s="2888" t="s">
        <v>3241</v>
      </c>
      <c r="FCY6" s="2888" t="s">
        <v>3241</v>
      </c>
      <c r="FCZ6" s="2888" t="s">
        <v>3241</v>
      </c>
      <c r="FDA6" s="2888" t="s">
        <v>3241</v>
      </c>
      <c r="FDB6" s="2888" t="s">
        <v>3241</v>
      </c>
      <c r="FDC6" s="2888" t="s">
        <v>3241</v>
      </c>
      <c r="FDD6" s="2888" t="s">
        <v>3241</v>
      </c>
      <c r="FDE6" s="2888" t="s">
        <v>3241</v>
      </c>
      <c r="FDF6" s="2888" t="s">
        <v>3241</v>
      </c>
      <c r="FDG6" s="2888" t="s">
        <v>3241</v>
      </c>
      <c r="FDH6" s="2888" t="s">
        <v>3241</v>
      </c>
      <c r="FDI6" s="2888" t="s">
        <v>3241</v>
      </c>
      <c r="FDJ6" s="2888" t="s">
        <v>3241</v>
      </c>
      <c r="FDK6" s="2888" t="s">
        <v>3241</v>
      </c>
      <c r="FDL6" s="2888" t="s">
        <v>3241</v>
      </c>
      <c r="FDM6" s="2888" t="s">
        <v>3241</v>
      </c>
      <c r="FDN6" s="2888" t="s">
        <v>3241</v>
      </c>
      <c r="FDO6" s="2888" t="s">
        <v>3241</v>
      </c>
      <c r="FDP6" s="2888" t="s">
        <v>3241</v>
      </c>
      <c r="FDQ6" s="2888" t="s">
        <v>3241</v>
      </c>
      <c r="FDR6" s="2888" t="s">
        <v>3241</v>
      </c>
      <c r="FDS6" s="2888" t="s">
        <v>3241</v>
      </c>
      <c r="FDT6" s="2888" t="s">
        <v>3241</v>
      </c>
      <c r="FDU6" s="2888" t="s">
        <v>3241</v>
      </c>
      <c r="FDV6" s="2888" t="s">
        <v>3241</v>
      </c>
      <c r="FDW6" s="2888" t="s">
        <v>3241</v>
      </c>
      <c r="FDX6" s="2888" t="s">
        <v>3241</v>
      </c>
      <c r="FDY6" s="2888" t="s">
        <v>3241</v>
      </c>
      <c r="FDZ6" s="2888" t="s">
        <v>3241</v>
      </c>
      <c r="FEA6" s="2888" t="s">
        <v>3241</v>
      </c>
      <c r="FEB6" s="2888" t="s">
        <v>3241</v>
      </c>
      <c r="FEC6" s="2888" t="s">
        <v>3241</v>
      </c>
      <c r="FED6" s="2888" t="s">
        <v>3241</v>
      </c>
      <c r="FEE6" s="2888" t="s">
        <v>3241</v>
      </c>
      <c r="FEF6" s="2888" t="s">
        <v>3241</v>
      </c>
      <c r="FEG6" s="2888" t="s">
        <v>3241</v>
      </c>
      <c r="FEH6" s="2888" t="s">
        <v>3241</v>
      </c>
      <c r="FEI6" s="2888" t="s">
        <v>3241</v>
      </c>
      <c r="FEJ6" s="2888" t="s">
        <v>3241</v>
      </c>
      <c r="FEK6" s="2888" t="s">
        <v>3241</v>
      </c>
      <c r="FEL6" s="2888" t="s">
        <v>3241</v>
      </c>
      <c r="FEM6" s="2888" t="s">
        <v>3241</v>
      </c>
      <c r="FEN6" s="2888" t="s">
        <v>3241</v>
      </c>
      <c r="FEO6" s="2888" t="s">
        <v>3241</v>
      </c>
      <c r="FEP6" s="2888" t="s">
        <v>3241</v>
      </c>
      <c r="FEQ6" s="2888" t="s">
        <v>3241</v>
      </c>
      <c r="FER6" s="2888" t="s">
        <v>3241</v>
      </c>
      <c r="FES6" s="2888" t="s">
        <v>3241</v>
      </c>
      <c r="FET6" s="2888" t="s">
        <v>3241</v>
      </c>
      <c r="FEU6" s="2888" t="s">
        <v>3241</v>
      </c>
      <c r="FEV6" s="2888" t="s">
        <v>3241</v>
      </c>
      <c r="FEW6" s="2888" t="s">
        <v>3241</v>
      </c>
      <c r="FEX6" s="2888" t="s">
        <v>3241</v>
      </c>
      <c r="FEY6" s="2888" t="s">
        <v>3241</v>
      </c>
      <c r="FEZ6" s="2888" t="s">
        <v>3241</v>
      </c>
      <c r="FFA6" s="2888" t="s">
        <v>3241</v>
      </c>
      <c r="FFB6" s="2888" t="s">
        <v>3241</v>
      </c>
      <c r="FFC6" s="2888" t="s">
        <v>3241</v>
      </c>
      <c r="FFD6" s="2888" t="s">
        <v>3241</v>
      </c>
      <c r="FFE6" s="2888" t="s">
        <v>3241</v>
      </c>
      <c r="FFF6" s="2888" t="s">
        <v>3241</v>
      </c>
      <c r="FFG6" s="2888" t="s">
        <v>3241</v>
      </c>
      <c r="FFH6" s="2888" t="s">
        <v>3241</v>
      </c>
      <c r="FFI6" s="2888" t="s">
        <v>3241</v>
      </c>
      <c r="FFJ6" s="2888" t="s">
        <v>3241</v>
      </c>
      <c r="FFK6" s="2888" t="s">
        <v>3241</v>
      </c>
      <c r="FFL6" s="2888" t="s">
        <v>3241</v>
      </c>
      <c r="FFM6" s="2888" t="s">
        <v>3241</v>
      </c>
      <c r="FFN6" s="2888" t="s">
        <v>3241</v>
      </c>
      <c r="FFO6" s="2888" t="s">
        <v>3241</v>
      </c>
      <c r="FFP6" s="2888" t="s">
        <v>3241</v>
      </c>
      <c r="FFQ6" s="2888" t="s">
        <v>3241</v>
      </c>
      <c r="FFR6" s="2888" t="s">
        <v>3241</v>
      </c>
      <c r="FFS6" s="2888" t="s">
        <v>3241</v>
      </c>
      <c r="FFT6" s="2888" t="s">
        <v>3241</v>
      </c>
      <c r="FFU6" s="2888" t="s">
        <v>3241</v>
      </c>
      <c r="FFV6" s="2888" t="s">
        <v>3241</v>
      </c>
      <c r="FFW6" s="2888" t="s">
        <v>3241</v>
      </c>
      <c r="FFX6" s="2888" t="s">
        <v>3241</v>
      </c>
      <c r="FFY6" s="2888" t="s">
        <v>3241</v>
      </c>
      <c r="FFZ6" s="2888" t="s">
        <v>3241</v>
      </c>
      <c r="FGA6" s="2888" t="s">
        <v>3241</v>
      </c>
      <c r="FGB6" s="2888" t="s">
        <v>3241</v>
      </c>
      <c r="FGC6" s="2888" t="s">
        <v>3241</v>
      </c>
      <c r="FGD6" s="2888" t="s">
        <v>3241</v>
      </c>
      <c r="FGE6" s="2888" t="s">
        <v>3241</v>
      </c>
      <c r="FGF6" s="2888" t="s">
        <v>3241</v>
      </c>
      <c r="FGG6" s="2888" t="s">
        <v>3241</v>
      </c>
      <c r="FGH6" s="2888" t="s">
        <v>3241</v>
      </c>
      <c r="FGI6" s="2888" t="s">
        <v>3241</v>
      </c>
      <c r="FGJ6" s="2888" t="s">
        <v>3241</v>
      </c>
      <c r="FGK6" s="2888" t="s">
        <v>3241</v>
      </c>
      <c r="FGL6" s="2888" t="s">
        <v>3241</v>
      </c>
      <c r="FGM6" s="2888" t="s">
        <v>3241</v>
      </c>
      <c r="FGN6" s="2888" t="s">
        <v>3241</v>
      </c>
      <c r="FGO6" s="2888" t="s">
        <v>3241</v>
      </c>
      <c r="FGP6" s="2888" t="s">
        <v>3241</v>
      </c>
      <c r="FGQ6" s="2888" t="s">
        <v>3241</v>
      </c>
      <c r="FGR6" s="2888" t="s">
        <v>3241</v>
      </c>
      <c r="FGS6" s="2888" t="s">
        <v>3241</v>
      </c>
      <c r="FGT6" s="2888" t="s">
        <v>3241</v>
      </c>
      <c r="FGU6" s="2888" t="s">
        <v>3241</v>
      </c>
      <c r="FGV6" s="2888" t="s">
        <v>3241</v>
      </c>
      <c r="FGW6" s="2888" t="s">
        <v>3241</v>
      </c>
      <c r="FGX6" s="2888" t="s">
        <v>3241</v>
      </c>
      <c r="FGY6" s="2888" t="s">
        <v>3241</v>
      </c>
      <c r="FGZ6" s="2888" t="s">
        <v>3241</v>
      </c>
      <c r="FHA6" s="2888" t="s">
        <v>3241</v>
      </c>
      <c r="FHB6" s="2888" t="s">
        <v>3241</v>
      </c>
      <c r="FHC6" s="2888" t="s">
        <v>3241</v>
      </c>
      <c r="FHD6" s="2888" t="s">
        <v>3241</v>
      </c>
      <c r="FHE6" s="2888" t="s">
        <v>3241</v>
      </c>
      <c r="FHF6" s="2888" t="s">
        <v>3241</v>
      </c>
      <c r="FHG6" s="2888" t="s">
        <v>3241</v>
      </c>
      <c r="FHH6" s="2888" t="s">
        <v>3241</v>
      </c>
      <c r="FHI6" s="2888" t="s">
        <v>3241</v>
      </c>
      <c r="FHJ6" s="2888" t="s">
        <v>3241</v>
      </c>
      <c r="FHK6" s="2888" t="s">
        <v>3241</v>
      </c>
      <c r="FHL6" s="2888" t="s">
        <v>3241</v>
      </c>
      <c r="FHM6" s="2888" t="s">
        <v>3241</v>
      </c>
      <c r="FHN6" s="2888" t="s">
        <v>3241</v>
      </c>
      <c r="FHO6" s="2888" t="s">
        <v>3241</v>
      </c>
      <c r="FHP6" s="2888" t="s">
        <v>3241</v>
      </c>
      <c r="FHQ6" s="2888" t="s">
        <v>3241</v>
      </c>
      <c r="FHR6" s="2888" t="s">
        <v>3241</v>
      </c>
      <c r="FHS6" s="2888" t="s">
        <v>3241</v>
      </c>
      <c r="FHT6" s="2888" t="s">
        <v>3241</v>
      </c>
      <c r="FHU6" s="2888" t="s">
        <v>3241</v>
      </c>
      <c r="FHV6" s="2888" t="s">
        <v>3241</v>
      </c>
      <c r="FHW6" s="2888" t="s">
        <v>3241</v>
      </c>
      <c r="FHX6" s="2888" t="s">
        <v>3241</v>
      </c>
      <c r="FHY6" s="2888" t="s">
        <v>3241</v>
      </c>
      <c r="FHZ6" s="2888" t="s">
        <v>3241</v>
      </c>
      <c r="FIA6" s="2888" t="s">
        <v>3241</v>
      </c>
      <c r="FIB6" s="2888" t="s">
        <v>3241</v>
      </c>
      <c r="FIC6" s="2888" t="s">
        <v>3241</v>
      </c>
      <c r="FID6" s="2888" t="s">
        <v>3241</v>
      </c>
      <c r="FIE6" s="2888" t="s">
        <v>3241</v>
      </c>
      <c r="FIF6" s="2888" t="s">
        <v>3241</v>
      </c>
      <c r="FIG6" s="2888" t="s">
        <v>3241</v>
      </c>
      <c r="FIH6" s="2888" t="s">
        <v>3241</v>
      </c>
      <c r="FII6" s="2888" t="s">
        <v>3241</v>
      </c>
      <c r="FIJ6" s="2888" t="s">
        <v>3241</v>
      </c>
      <c r="FIK6" s="2888" t="s">
        <v>3241</v>
      </c>
      <c r="FIL6" s="2888" t="s">
        <v>3241</v>
      </c>
      <c r="FIM6" s="2888" t="s">
        <v>3241</v>
      </c>
      <c r="FIN6" s="2888" t="s">
        <v>3241</v>
      </c>
      <c r="FIO6" s="2888" t="s">
        <v>3241</v>
      </c>
      <c r="FIP6" s="2888" t="s">
        <v>3241</v>
      </c>
      <c r="FIQ6" s="2888" t="s">
        <v>3241</v>
      </c>
      <c r="FIR6" s="2888" t="s">
        <v>3241</v>
      </c>
      <c r="FIS6" s="2888" t="s">
        <v>3241</v>
      </c>
      <c r="FIT6" s="2888" t="s">
        <v>3241</v>
      </c>
      <c r="FIU6" s="2888" t="s">
        <v>3241</v>
      </c>
      <c r="FIV6" s="2888" t="s">
        <v>3241</v>
      </c>
      <c r="FIW6" s="2888" t="s">
        <v>3241</v>
      </c>
      <c r="FIX6" s="2888" t="s">
        <v>3241</v>
      </c>
      <c r="FIY6" s="2888" t="s">
        <v>3241</v>
      </c>
      <c r="FIZ6" s="2888" t="s">
        <v>3241</v>
      </c>
      <c r="FJA6" s="2888" t="s">
        <v>3241</v>
      </c>
      <c r="FJB6" s="2888" t="s">
        <v>3241</v>
      </c>
      <c r="FJC6" s="2888" t="s">
        <v>3241</v>
      </c>
      <c r="FJD6" s="2888" t="s">
        <v>3241</v>
      </c>
      <c r="FJE6" s="2888" t="s">
        <v>3241</v>
      </c>
      <c r="FJF6" s="2888" t="s">
        <v>3241</v>
      </c>
      <c r="FJG6" s="2888" t="s">
        <v>3241</v>
      </c>
      <c r="FJH6" s="2888" t="s">
        <v>3241</v>
      </c>
      <c r="FJI6" s="2888" t="s">
        <v>3241</v>
      </c>
      <c r="FJJ6" s="2888" t="s">
        <v>3241</v>
      </c>
      <c r="FJK6" s="2888" t="s">
        <v>3241</v>
      </c>
      <c r="FJL6" s="2888" t="s">
        <v>3241</v>
      </c>
      <c r="FJM6" s="2888" t="s">
        <v>3241</v>
      </c>
      <c r="FJN6" s="2888" t="s">
        <v>3241</v>
      </c>
      <c r="FJO6" s="2888" t="s">
        <v>3241</v>
      </c>
      <c r="FJP6" s="2888" t="s">
        <v>3241</v>
      </c>
      <c r="FJQ6" s="2888" t="s">
        <v>3241</v>
      </c>
      <c r="FJR6" s="2888" t="s">
        <v>3241</v>
      </c>
      <c r="FJS6" s="2888" t="s">
        <v>3241</v>
      </c>
      <c r="FJT6" s="2888" t="s">
        <v>3241</v>
      </c>
      <c r="FJU6" s="2888" t="s">
        <v>3241</v>
      </c>
      <c r="FJV6" s="2888" t="s">
        <v>3241</v>
      </c>
      <c r="FJW6" s="2888" t="s">
        <v>3241</v>
      </c>
      <c r="FJX6" s="2888" t="s">
        <v>3241</v>
      </c>
      <c r="FJY6" s="2888" t="s">
        <v>3241</v>
      </c>
      <c r="FJZ6" s="2888" t="s">
        <v>3241</v>
      </c>
      <c r="FKA6" s="2888" t="s">
        <v>3241</v>
      </c>
      <c r="FKB6" s="2888" t="s">
        <v>3241</v>
      </c>
      <c r="FKC6" s="2888" t="s">
        <v>3241</v>
      </c>
      <c r="FKD6" s="2888" t="s">
        <v>3241</v>
      </c>
      <c r="FKE6" s="2888" t="s">
        <v>3241</v>
      </c>
      <c r="FKF6" s="2888" t="s">
        <v>3241</v>
      </c>
      <c r="FKG6" s="2888" t="s">
        <v>3241</v>
      </c>
      <c r="FKH6" s="2888" t="s">
        <v>3241</v>
      </c>
      <c r="FKI6" s="2888" t="s">
        <v>3241</v>
      </c>
      <c r="FKJ6" s="2888" t="s">
        <v>3241</v>
      </c>
      <c r="FKK6" s="2888" t="s">
        <v>3241</v>
      </c>
      <c r="FKL6" s="2888" t="s">
        <v>3241</v>
      </c>
      <c r="FKM6" s="2888" t="s">
        <v>3241</v>
      </c>
      <c r="FKN6" s="2888" t="s">
        <v>3241</v>
      </c>
      <c r="FKO6" s="2888" t="s">
        <v>3241</v>
      </c>
      <c r="FKP6" s="2888" t="s">
        <v>3241</v>
      </c>
      <c r="FKQ6" s="2888" t="s">
        <v>3241</v>
      </c>
      <c r="FKR6" s="2888" t="s">
        <v>3241</v>
      </c>
      <c r="FKS6" s="2888" t="s">
        <v>3241</v>
      </c>
      <c r="FKT6" s="2888" t="s">
        <v>3241</v>
      </c>
      <c r="FKU6" s="2888" t="s">
        <v>3241</v>
      </c>
      <c r="FKV6" s="2888" t="s">
        <v>3241</v>
      </c>
      <c r="FKW6" s="2888" t="s">
        <v>3241</v>
      </c>
      <c r="FKX6" s="2888" t="s">
        <v>3241</v>
      </c>
      <c r="FKY6" s="2888" t="s">
        <v>3241</v>
      </c>
      <c r="FKZ6" s="2888" t="s">
        <v>3241</v>
      </c>
      <c r="FLA6" s="2888" t="s">
        <v>3241</v>
      </c>
      <c r="FLB6" s="2888" t="s">
        <v>3241</v>
      </c>
      <c r="FLC6" s="2888" t="s">
        <v>3241</v>
      </c>
      <c r="FLD6" s="2888" t="s">
        <v>3241</v>
      </c>
      <c r="FLE6" s="2888" t="s">
        <v>3241</v>
      </c>
      <c r="FLF6" s="2888" t="s">
        <v>3241</v>
      </c>
      <c r="FLG6" s="2888" t="s">
        <v>3241</v>
      </c>
      <c r="FLH6" s="2888" t="s">
        <v>3241</v>
      </c>
      <c r="FLI6" s="2888" t="s">
        <v>3241</v>
      </c>
      <c r="FLJ6" s="2888" t="s">
        <v>3241</v>
      </c>
      <c r="FLK6" s="2888" t="s">
        <v>3241</v>
      </c>
      <c r="FLL6" s="2888" t="s">
        <v>3241</v>
      </c>
      <c r="FLM6" s="2888" t="s">
        <v>3241</v>
      </c>
      <c r="FLN6" s="2888" t="s">
        <v>3241</v>
      </c>
      <c r="FLO6" s="2888" t="s">
        <v>3241</v>
      </c>
      <c r="FLP6" s="2888" t="s">
        <v>3241</v>
      </c>
      <c r="FLQ6" s="2888" t="s">
        <v>3241</v>
      </c>
      <c r="FLR6" s="2888" t="s">
        <v>3241</v>
      </c>
      <c r="FLS6" s="2888" t="s">
        <v>3241</v>
      </c>
      <c r="FLT6" s="2888" t="s">
        <v>3241</v>
      </c>
      <c r="FLU6" s="2888" t="s">
        <v>3241</v>
      </c>
      <c r="FLV6" s="2888" t="s">
        <v>3241</v>
      </c>
      <c r="FLW6" s="2888" t="s">
        <v>3241</v>
      </c>
      <c r="FLX6" s="2888" t="s">
        <v>3241</v>
      </c>
      <c r="FLY6" s="2888" t="s">
        <v>3241</v>
      </c>
      <c r="FLZ6" s="2888" t="s">
        <v>3241</v>
      </c>
      <c r="FMA6" s="2888" t="s">
        <v>3241</v>
      </c>
      <c r="FMB6" s="2888" t="s">
        <v>3241</v>
      </c>
      <c r="FMC6" s="2888" t="s">
        <v>3241</v>
      </c>
      <c r="FMD6" s="2888" t="s">
        <v>3241</v>
      </c>
      <c r="FME6" s="2888" t="s">
        <v>3241</v>
      </c>
      <c r="FMF6" s="2888" t="s">
        <v>3241</v>
      </c>
      <c r="FMG6" s="2888" t="s">
        <v>3241</v>
      </c>
      <c r="FMH6" s="2888" t="s">
        <v>3241</v>
      </c>
      <c r="FMI6" s="2888" t="s">
        <v>3241</v>
      </c>
      <c r="FMJ6" s="2888" t="s">
        <v>3241</v>
      </c>
      <c r="FMK6" s="2888" t="s">
        <v>3241</v>
      </c>
      <c r="FML6" s="2888" t="s">
        <v>3241</v>
      </c>
      <c r="FMM6" s="2888" t="s">
        <v>3241</v>
      </c>
      <c r="FMN6" s="2888" t="s">
        <v>3241</v>
      </c>
      <c r="FMO6" s="2888" t="s">
        <v>3241</v>
      </c>
      <c r="FMP6" s="2888" t="s">
        <v>3241</v>
      </c>
      <c r="FMQ6" s="2888" t="s">
        <v>3241</v>
      </c>
      <c r="FMR6" s="2888" t="s">
        <v>3241</v>
      </c>
      <c r="FMS6" s="2888" t="s">
        <v>3241</v>
      </c>
      <c r="FMT6" s="2888" t="s">
        <v>3241</v>
      </c>
      <c r="FMU6" s="2888" t="s">
        <v>3241</v>
      </c>
      <c r="FMV6" s="2888" t="s">
        <v>3241</v>
      </c>
      <c r="FMW6" s="2888" t="s">
        <v>3241</v>
      </c>
      <c r="FMX6" s="2888" t="s">
        <v>3241</v>
      </c>
      <c r="FMY6" s="2888" t="s">
        <v>3241</v>
      </c>
      <c r="FMZ6" s="2888" t="s">
        <v>3241</v>
      </c>
      <c r="FNA6" s="2888" t="s">
        <v>3241</v>
      </c>
      <c r="FNB6" s="2888" t="s">
        <v>3241</v>
      </c>
      <c r="FNC6" s="2888" t="s">
        <v>3241</v>
      </c>
      <c r="FND6" s="2888" t="s">
        <v>3241</v>
      </c>
      <c r="FNE6" s="2888" t="s">
        <v>3241</v>
      </c>
      <c r="FNF6" s="2888" t="s">
        <v>3241</v>
      </c>
      <c r="FNG6" s="2888" t="s">
        <v>3241</v>
      </c>
      <c r="FNH6" s="2888" t="s">
        <v>3241</v>
      </c>
      <c r="FNI6" s="2888" t="s">
        <v>3241</v>
      </c>
      <c r="FNJ6" s="2888" t="s">
        <v>3241</v>
      </c>
      <c r="FNK6" s="2888" t="s">
        <v>3241</v>
      </c>
      <c r="FNL6" s="2888" t="s">
        <v>3241</v>
      </c>
      <c r="FNM6" s="2888" t="s">
        <v>3241</v>
      </c>
      <c r="FNN6" s="2888" t="s">
        <v>3241</v>
      </c>
      <c r="FNO6" s="2888" t="s">
        <v>3241</v>
      </c>
      <c r="FNP6" s="2888" t="s">
        <v>3241</v>
      </c>
      <c r="FNQ6" s="2888" t="s">
        <v>3241</v>
      </c>
      <c r="FNR6" s="2888" t="s">
        <v>3241</v>
      </c>
      <c r="FNS6" s="2888" t="s">
        <v>3241</v>
      </c>
      <c r="FNT6" s="2888" t="s">
        <v>3241</v>
      </c>
      <c r="FNU6" s="2888" t="s">
        <v>3241</v>
      </c>
      <c r="FNV6" s="2888" t="s">
        <v>3241</v>
      </c>
      <c r="FNW6" s="2888" t="s">
        <v>3241</v>
      </c>
      <c r="FNX6" s="2888" t="s">
        <v>3241</v>
      </c>
      <c r="FNY6" s="2888" t="s">
        <v>3241</v>
      </c>
      <c r="FNZ6" s="2888" t="s">
        <v>3241</v>
      </c>
      <c r="FOA6" s="2888" t="s">
        <v>3241</v>
      </c>
      <c r="FOB6" s="2888" t="s">
        <v>3241</v>
      </c>
      <c r="FOC6" s="2888" t="s">
        <v>3241</v>
      </c>
      <c r="FOD6" s="2888" t="s">
        <v>3241</v>
      </c>
      <c r="FOE6" s="2888" t="s">
        <v>3241</v>
      </c>
      <c r="FOF6" s="2888" t="s">
        <v>3241</v>
      </c>
      <c r="FOG6" s="2888" t="s">
        <v>3241</v>
      </c>
      <c r="FOH6" s="2888" t="s">
        <v>3241</v>
      </c>
      <c r="FOI6" s="2888" t="s">
        <v>3241</v>
      </c>
      <c r="FOJ6" s="2888" t="s">
        <v>3241</v>
      </c>
      <c r="FOK6" s="2888" t="s">
        <v>3241</v>
      </c>
      <c r="FOL6" s="2888" t="s">
        <v>3241</v>
      </c>
      <c r="FOM6" s="2888" t="s">
        <v>3241</v>
      </c>
      <c r="FON6" s="2888" t="s">
        <v>3241</v>
      </c>
      <c r="FOO6" s="2888" t="s">
        <v>3241</v>
      </c>
      <c r="FOP6" s="2888" t="s">
        <v>3241</v>
      </c>
      <c r="FOQ6" s="2888" t="s">
        <v>3241</v>
      </c>
      <c r="FOR6" s="2888" t="s">
        <v>3241</v>
      </c>
      <c r="FOS6" s="2888" t="s">
        <v>3241</v>
      </c>
      <c r="FOT6" s="2888" t="s">
        <v>3241</v>
      </c>
      <c r="FOU6" s="2888" t="s">
        <v>3241</v>
      </c>
      <c r="FOV6" s="2888" t="s">
        <v>3241</v>
      </c>
      <c r="FOW6" s="2888" t="s">
        <v>3241</v>
      </c>
      <c r="FOX6" s="2888" t="s">
        <v>3241</v>
      </c>
      <c r="FOY6" s="2888" t="s">
        <v>3241</v>
      </c>
      <c r="FOZ6" s="2888" t="s">
        <v>3241</v>
      </c>
      <c r="FPA6" s="2888" t="s">
        <v>3241</v>
      </c>
      <c r="FPB6" s="2888" t="s">
        <v>3241</v>
      </c>
      <c r="FPC6" s="2888" t="s">
        <v>3241</v>
      </c>
      <c r="FPD6" s="2888" t="s">
        <v>3241</v>
      </c>
      <c r="FPE6" s="2888" t="s">
        <v>3241</v>
      </c>
      <c r="FPF6" s="2888" t="s">
        <v>3241</v>
      </c>
      <c r="FPG6" s="2888" t="s">
        <v>3241</v>
      </c>
      <c r="FPH6" s="2888" t="s">
        <v>3241</v>
      </c>
      <c r="FPI6" s="2888" t="s">
        <v>3241</v>
      </c>
      <c r="FPJ6" s="2888" t="s">
        <v>3241</v>
      </c>
      <c r="FPK6" s="2888" t="s">
        <v>3241</v>
      </c>
      <c r="FPL6" s="2888" t="s">
        <v>3241</v>
      </c>
      <c r="FPM6" s="2888" t="s">
        <v>3241</v>
      </c>
      <c r="FPN6" s="2888" t="s">
        <v>3241</v>
      </c>
      <c r="FPO6" s="2888" t="s">
        <v>3241</v>
      </c>
      <c r="FPP6" s="2888" t="s">
        <v>3241</v>
      </c>
      <c r="FPQ6" s="2888" t="s">
        <v>3241</v>
      </c>
      <c r="FPR6" s="2888" t="s">
        <v>3241</v>
      </c>
      <c r="FPS6" s="2888" t="s">
        <v>3241</v>
      </c>
      <c r="FPT6" s="2888" t="s">
        <v>3241</v>
      </c>
      <c r="FPU6" s="2888" t="s">
        <v>3241</v>
      </c>
      <c r="FPV6" s="2888" t="s">
        <v>3241</v>
      </c>
      <c r="FPW6" s="2888" t="s">
        <v>3241</v>
      </c>
      <c r="FPX6" s="2888" t="s">
        <v>3241</v>
      </c>
      <c r="FPY6" s="2888" t="s">
        <v>3241</v>
      </c>
      <c r="FPZ6" s="2888" t="s">
        <v>3241</v>
      </c>
      <c r="FQA6" s="2888" t="s">
        <v>3241</v>
      </c>
      <c r="FQB6" s="2888" t="s">
        <v>3241</v>
      </c>
      <c r="FQC6" s="2888" t="s">
        <v>3241</v>
      </c>
      <c r="FQD6" s="2888" t="s">
        <v>3241</v>
      </c>
      <c r="FQE6" s="2888" t="s">
        <v>3241</v>
      </c>
      <c r="FQF6" s="2888" t="s">
        <v>3241</v>
      </c>
      <c r="FQG6" s="2888" t="s">
        <v>3241</v>
      </c>
      <c r="FQH6" s="2888" t="s">
        <v>3241</v>
      </c>
      <c r="FQI6" s="2888" t="s">
        <v>3241</v>
      </c>
      <c r="FQJ6" s="2888" t="s">
        <v>3241</v>
      </c>
      <c r="FQK6" s="2888" t="s">
        <v>3241</v>
      </c>
      <c r="FQL6" s="2888" t="s">
        <v>3241</v>
      </c>
      <c r="FQM6" s="2888" t="s">
        <v>3241</v>
      </c>
      <c r="FQN6" s="2888" t="s">
        <v>3241</v>
      </c>
      <c r="FQO6" s="2888" t="s">
        <v>3241</v>
      </c>
      <c r="FQP6" s="2888" t="s">
        <v>3241</v>
      </c>
      <c r="FQQ6" s="2888" t="s">
        <v>3241</v>
      </c>
      <c r="FQR6" s="2888" t="s">
        <v>3241</v>
      </c>
      <c r="FQS6" s="2888" t="s">
        <v>3241</v>
      </c>
      <c r="FQT6" s="2888" t="s">
        <v>3241</v>
      </c>
      <c r="FQU6" s="2888" t="s">
        <v>3241</v>
      </c>
      <c r="FQV6" s="2888" t="s">
        <v>3241</v>
      </c>
      <c r="FQW6" s="2888" t="s">
        <v>3241</v>
      </c>
      <c r="FQX6" s="2888" t="s">
        <v>3241</v>
      </c>
      <c r="FQY6" s="2888" t="s">
        <v>3241</v>
      </c>
      <c r="FQZ6" s="2888" t="s">
        <v>3241</v>
      </c>
      <c r="FRA6" s="2888" t="s">
        <v>3241</v>
      </c>
      <c r="FRB6" s="2888" t="s">
        <v>3241</v>
      </c>
      <c r="FRC6" s="2888" t="s">
        <v>3241</v>
      </c>
      <c r="FRD6" s="2888" t="s">
        <v>3241</v>
      </c>
      <c r="FRE6" s="2888" t="s">
        <v>3241</v>
      </c>
      <c r="FRF6" s="2888" t="s">
        <v>3241</v>
      </c>
      <c r="FRG6" s="2888" t="s">
        <v>3241</v>
      </c>
      <c r="FRH6" s="2888" t="s">
        <v>3241</v>
      </c>
      <c r="FRI6" s="2888" t="s">
        <v>3241</v>
      </c>
      <c r="FRJ6" s="2888" t="s">
        <v>3241</v>
      </c>
      <c r="FRK6" s="2888" t="s">
        <v>3241</v>
      </c>
      <c r="FRL6" s="2888" t="s">
        <v>3241</v>
      </c>
      <c r="FRM6" s="2888" t="s">
        <v>3241</v>
      </c>
      <c r="FRN6" s="2888" t="s">
        <v>3241</v>
      </c>
      <c r="FRO6" s="2888" t="s">
        <v>3241</v>
      </c>
      <c r="FRP6" s="2888" t="s">
        <v>3241</v>
      </c>
      <c r="FRQ6" s="2888" t="s">
        <v>3241</v>
      </c>
      <c r="FRR6" s="2888" t="s">
        <v>3241</v>
      </c>
      <c r="FRS6" s="2888" t="s">
        <v>3241</v>
      </c>
      <c r="FRT6" s="2888" t="s">
        <v>3241</v>
      </c>
      <c r="FRU6" s="2888" t="s">
        <v>3241</v>
      </c>
      <c r="FRV6" s="2888" t="s">
        <v>3241</v>
      </c>
      <c r="FRW6" s="2888" t="s">
        <v>3241</v>
      </c>
      <c r="FRX6" s="2888" t="s">
        <v>3241</v>
      </c>
      <c r="FRY6" s="2888" t="s">
        <v>3241</v>
      </c>
      <c r="FRZ6" s="2888" t="s">
        <v>3241</v>
      </c>
      <c r="FSA6" s="2888" t="s">
        <v>3241</v>
      </c>
      <c r="FSB6" s="2888" t="s">
        <v>3241</v>
      </c>
      <c r="FSC6" s="2888" t="s">
        <v>3241</v>
      </c>
      <c r="FSD6" s="2888" t="s">
        <v>3241</v>
      </c>
      <c r="FSE6" s="2888" t="s">
        <v>3241</v>
      </c>
      <c r="FSF6" s="2888" t="s">
        <v>3241</v>
      </c>
      <c r="FSG6" s="2888" t="s">
        <v>3241</v>
      </c>
      <c r="FSH6" s="2888" t="s">
        <v>3241</v>
      </c>
      <c r="FSI6" s="2888" t="s">
        <v>3241</v>
      </c>
      <c r="FSJ6" s="2888" t="s">
        <v>3241</v>
      </c>
      <c r="FSK6" s="2888" t="s">
        <v>3241</v>
      </c>
      <c r="FSL6" s="2888" t="s">
        <v>3241</v>
      </c>
      <c r="FSM6" s="2888" t="s">
        <v>3241</v>
      </c>
      <c r="FSN6" s="2888" t="s">
        <v>3241</v>
      </c>
      <c r="FSO6" s="2888" t="s">
        <v>3241</v>
      </c>
      <c r="FSP6" s="2888" t="s">
        <v>3241</v>
      </c>
      <c r="FSQ6" s="2888" t="s">
        <v>3241</v>
      </c>
      <c r="FSR6" s="2888" t="s">
        <v>3241</v>
      </c>
      <c r="FSS6" s="2888" t="s">
        <v>3241</v>
      </c>
      <c r="FST6" s="2888" t="s">
        <v>3241</v>
      </c>
      <c r="FSU6" s="2888" t="s">
        <v>3241</v>
      </c>
      <c r="FSV6" s="2888" t="s">
        <v>3241</v>
      </c>
      <c r="FSW6" s="2888" t="s">
        <v>3241</v>
      </c>
      <c r="FSX6" s="2888" t="s">
        <v>3241</v>
      </c>
      <c r="FSY6" s="2888" t="s">
        <v>3241</v>
      </c>
      <c r="FSZ6" s="2888" t="s">
        <v>3241</v>
      </c>
      <c r="FTA6" s="2888" t="s">
        <v>3241</v>
      </c>
      <c r="FTB6" s="2888" t="s">
        <v>3241</v>
      </c>
      <c r="FTC6" s="2888" t="s">
        <v>3241</v>
      </c>
      <c r="FTD6" s="2888" t="s">
        <v>3241</v>
      </c>
      <c r="FTE6" s="2888" t="s">
        <v>3241</v>
      </c>
      <c r="FTF6" s="2888" t="s">
        <v>3241</v>
      </c>
      <c r="FTG6" s="2888" t="s">
        <v>3241</v>
      </c>
      <c r="FTH6" s="2888" t="s">
        <v>3241</v>
      </c>
      <c r="FTI6" s="2888" t="s">
        <v>3241</v>
      </c>
      <c r="FTJ6" s="2888" t="s">
        <v>3241</v>
      </c>
      <c r="FTK6" s="2888" t="s">
        <v>3241</v>
      </c>
      <c r="FTL6" s="2888" t="s">
        <v>3241</v>
      </c>
      <c r="FTM6" s="2888" t="s">
        <v>3241</v>
      </c>
      <c r="FTN6" s="2888" t="s">
        <v>3241</v>
      </c>
      <c r="FTO6" s="2888" t="s">
        <v>3241</v>
      </c>
      <c r="FTP6" s="2888" t="s">
        <v>3241</v>
      </c>
      <c r="FTQ6" s="2888" t="s">
        <v>3241</v>
      </c>
      <c r="FTR6" s="2888" t="s">
        <v>3241</v>
      </c>
      <c r="FTS6" s="2888" t="s">
        <v>3241</v>
      </c>
      <c r="FTT6" s="2888" t="s">
        <v>3241</v>
      </c>
      <c r="FTU6" s="2888" t="s">
        <v>3241</v>
      </c>
      <c r="FTV6" s="2888" t="s">
        <v>3241</v>
      </c>
      <c r="FTW6" s="2888" t="s">
        <v>3241</v>
      </c>
      <c r="FTX6" s="2888" t="s">
        <v>3241</v>
      </c>
      <c r="FTY6" s="2888" t="s">
        <v>3241</v>
      </c>
      <c r="FTZ6" s="2888" t="s">
        <v>3241</v>
      </c>
      <c r="FUA6" s="2888" t="s">
        <v>3241</v>
      </c>
      <c r="FUB6" s="2888" t="s">
        <v>3241</v>
      </c>
      <c r="FUC6" s="2888" t="s">
        <v>3241</v>
      </c>
      <c r="FUD6" s="2888" t="s">
        <v>3241</v>
      </c>
      <c r="FUE6" s="2888" t="s">
        <v>3241</v>
      </c>
      <c r="FUF6" s="2888" t="s">
        <v>3241</v>
      </c>
      <c r="FUG6" s="2888" t="s">
        <v>3241</v>
      </c>
      <c r="FUH6" s="2888" t="s">
        <v>3241</v>
      </c>
      <c r="FUI6" s="2888" t="s">
        <v>3241</v>
      </c>
      <c r="FUJ6" s="2888" t="s">
        <v>3241</v>
      </c>
      <c r="FUK6" s="2888" t="s">
        <v>3241</v>
      </c>
      <c r="FUL6" s="2888" t="s">
        <v>3241</v>
      </c>
      <c r="FUM6" s="2888" t="s">
        <v>3241</v>
      </c>
      <c r="FUN6" s="2888" t="s">
        <v>3241</v>
      </c>
      <c r="FUO6" s="2888" t="s">
        <v>3241</v>
      </c>
      <c r="FUP6" s="2888" t="s">
        <v>3241</v>
      </c>
      <c r="FUQ6" s="2888" t="s">
        <v>3241</v>
      </c>
      <c r="FUR6" s="2888" t="s">
        <v>3241</v>
      </c>
      <c r="FUS6" s="2888" t="s">
        <v>3241</v>
      </c>
      <c r="FUT6" s="2888" t="s">
        <v>3241</v>
      </c>
      <c r="FUU6" s="2888" t="s">
        <v>3241</v>
      </c>
      <c r="FUV6" s="2888" t="s">
        <v>3241</v>
      </c>
      <c r="FUW6" s="2888" t="s">
        <v>3241</v>
      </c>
      <c r="FUX6" s="2888" t="s">
        <v>3241</v>
      </c>
      <c r="FUY6" s="2888" t="s">
        <v>3241</v>
      </c>
      <c r="FUZ6" s="2888" t="s">
        <v>3241</v>
      </c>
      <c r="FVA6" s="2888" t="s">
        <v>3241</v>
      </c>
      <c r="FVB6" s="2888" t="s">
        <v>3241</v>
      </c>
      <c r="FVC6" s="2888" t="s">
        <v>3241</v>
      </c>
      <c r="FVD6" s="2888" t="s">
        <v>3241</v>
      </c>
      <c r="FVE6" s="2888" t="s">
        <v>3241</v>
      </c>
      <c r="FVF6" s="2888" t="s">
        <v>3241</v>
      </c>
      <c r="FVG6" s="2888" t="s">
        <v>3241</v>
      </c>
      <c r="FVH6" s="2888" t="s">
        <v>3241</v>
      </c>
      <c r="FVI6" s="2888" t="s">
        <v>3241</v>
      </c>
      <c r="FVJ6" s="2888" t="s">
        <v>3241</v>
      </c>
      <c r="FVK6" s="2888" t="s">
        <v>3241</v>
      </c>
      <c r="FVL6" s="2888" t="s">
        <v>3241</v>
      </c>
      <c r="FVM6" s="2888" t="s">
        <v>3241</v>
      </c>
      <c r="FVN6" s="2888" t="s">
        <v>3241</v>
      </c>
      <c r="FVO6" s="2888" t="s">
        <v>3241</v>
      </c>
      <c r="FVP6" s="2888" t="s">
        <v>3241</v>
      </c>
      <c r="FVQ6" s="2888" t="s">
        <v>3241</v>
      </c>
      <c r="FVR6" s="2888" t="s">
        <v>3241</v>
      </c>
      <c r="FVS6" s="2888" t="s">
        <v>3241</v>
      </c>
      <c r="FVT6" s="2888" t="s">
        <v>3241</v>
      </c>
      <c r="FVU6" s="2888" t="s">
        <v>3241</v>
      </c>
      <c r="FVV6" s="2888" t="s">
        <v>3241</v>
      </c>
      <c r="FVW6" s="2888" t="s">
        <v>3241</v>
      </c>
      <c r="FVX6" s="2888" t="s">
        <v>3241</v>
      </c>
      <c r="FVY6" s="2888" t="s">
        <v>3241</v>
      </c>
      <c r="FVZ6" s="2888" t="s">
        <v>3241</v>
      </c>
      <c r="FWA6" s="2888" t="s">
        <v>3241</v>
      </c>
      <c r="FWB6" s="2888" t="s">
        <v>3241</v>
      </c>
      <c r="FWC6" s="2888" t="s">
        <v>3241</v>
      </c>
      <c r="FWD6" s="2888" t="s">
        <v>3241</v>
      </c>
      <c r="FWE6" s="2888" t="s">
        <v>3241</v>
      </c>
      <c r="FWF6" s="2888" t="s">
        <v>3241</v>
      </c>
      <c r="FWG6" s="2888" t="s">
        <v>3241</v>
      </c>
      <c r="FWH6" s="2888" t="s">
        <v>3241</v>
      </c>
      <c r="FWI6" s="2888" t="s">
        <v>3241</v>
      </c>
      <c r="FWJ6" s="2888" t="s">
        <v>3241</v>
      </c>
      <c r="FWK6" s="2888" t="s">
        <v>3241</v>
      </c>
      <c r="FWL6" s="2888" t="s">
        <v>3241</v>
      </c>
      <c r="FWM6" s="2888" t="s">
        <v>3241</v>
      </c>
      <c r="FWN6" s="2888" t="s">
        <v>3241</v>
      </c>
      <c r="FWO6" s="2888" t="s">
        <v>3241</v>
      </c>
      <c r="FWP6" s="2888" t="s">
        <v>3241</v>
      </c>
      <c r="FWQ6" s="2888" t="s">
        <v>3241</v>
      </c>
      <c r="FWR6" s="2888" t="s">
        <v>3241</v>
      </c>
      <c r="FWS6" s="2888" t="s">
        <v>3241</v>
      </c>
      <c r="FWT6" s="2888" t="s">
        <v>3241</v>
      </c>
      <c r="FWU6" s="2888" t="s">
        <v>3241</v>
      </c>
      <c r="FWV6" s="2888" t="s">
        <v>3241</v>
      </c>
      <c r="FWW6" s="2888" t="s">
        <v>3241</v>
      </c>
      <c r="FWX6" s="2888" t="s">
        <v>3241</v>
      </c>
      <c r="FWY6" s="2888" t="s">
        <v>3241</v>
      </c>
      <c r="FWZ6" s="2888" t="s">
        <v>3241</v>
      </c>
      <c r="FXA6" s="2888" t="s">
        <v>3241</v>
      </c>
      <c r="FXB6" s="2888" t="s">
        <v>3241</v>
      </c>
      <c r="FXC6" s="2888" t="s">
        <v>3241</v>
      </c>
      <c r="FXD6" s="2888" t="s">
        <v>3241</v>
      </c>
      <c r="FXE6" s="2888" t="s">
        <v>3241</v>
      </c>
      <c r="FXF6" s="2888" t="s">
        <v>3241</v>
      </c>
      <c r="FXG6" s="2888" t="s">
        <v>3241</v>
      </c>
      <c r="FXH6" s="2888" t="s">
        <v>3241</v>
      </c>
      <c r="FXI6" s="2888" t="s">
        <v>3241</v>
      </c>
      <c r="FXJ6" s="2888" t="s">
        <v>3241</v>
      </c>
      <c r="FXK6" s="2888" t="s">
        <v>3241</v>
      </c>
      <c r="FXL6" s="2888" t="s">
        <v>3241</v>
      </c>
      <c r="FXM6" s="2888" t="s">
        <v>3241</v>
      </c>
      <c r="FXN6" s="2888" t="s">
        <v>3241</v>
      </c>
      <c r="FXO6" s="2888" t="s">
        <v>3241</v>
      </c>
      <c r="FXP6" s="2888" t="s">
        <v>3241</v>
      </c>
      <c r="FXQ6" s="2888" t="s">
        <v>3241</v>
      </c>
      <c r="FXR6" s="2888" t="s">
        <v>3241</v>
      </c>
      <c r="FXS6" s="2888" t="s">
        <v>3241</v>
      </c>
      <c r="FXT6" s="2888" t="s">
        <v>3241</v>
      </c>
      <c r="FXU6" s="2888" t="s">
        <v>3241</v>
      </c>
      <c r="FXV6" s="2888" t="s">
        <v>3241</v>
      </c>
      <c r="FXW6" s="2888" t="s">
        <v>3241</v>
      </c>
      <c r="FXX6" s="2888" t="s">
        <v>3241</v>
      </c>
      <c r="FXY6" s="2888" t="s">
        <v>3241</v>
      </c>
      <c r="FXZ6" s="2888" t="s">
        <v>3241</v>
      </c>
      <c r="FYA6" s="2888" t="s">
        <v>3241</v>
      </c>
      <c r="FYB6" s="2888" t="s">
        <v>3241</v>
      </c>
      <c r="FYC6" s="2888" t="s">
        <v>3241</v>
      </c>
      <c r="FYD6" s="2888" t="s">
        <v>3241</v>
      </c>
      <c r="FYE6" s="2888" t="s">
        <v>3241</v>
      </c>
      <c r="FYF6" s="2888" t="s">
        <v>3241</v>
      </c>
      <c r="FYG6" s="2888" t="s">
        <v>3241</v>
      </c>
      <c r="FYH6" s="2888" t="s">
        <v>3241</v>
      </c>
      <c r="FYI6" s="2888" t="s">
        <v>3241</v>
      </c>
      <c r="FYJ6" s="2888" t="s">
        <v>3241</v>
      </c>
      <c r="FYK6" s="2888" t="s">
        <v>3241</v>
      </c>
      <c r="FYL6" s="2888" t="s">
        <v>3241</v>
      </c>
      <c r="FYM6" s="2888" t="s">
        <v>3241</v>
      </c>
      <c r="FYN6" s="2888" t="s">
        <v>3241</v>
      </c>
      <c r="FYO6" s="2888" t="s">
        <v>3241</v>
      </c>
      <c r="FYP6" s="2888" t="s">
        <v>3241</v>
      </c>
      <c r="FYQ6" s="2888" t="s">
        <v>3241</v>
      </c>
      <c r="FYR6" s="2888" t="s">
        <v>3241</v>
      </c>
      <c r="FYS6" s="2888" t="s">
        <v>3241</v>
      </c>
      <c r="FYT6" s="2888" t="s">
        <v>3241</v>
      </c>
      <c r="FYU6" s="2888" t="s">
        <v>3241</v>
      </c>
      <c r="FYV6" s="2888" t="s">
        <v>3241</v>
      </c>
      <c r="FYW6" s="2888" t="s">
        <v>3241</v>
      </c>
      <c r="FYX6" s="2888" t="s">
        <v>3241</v>
      </c>
      <c r="FYY6" s="2888" t="s">
        <v>3241</v>
      </c>
      <c r="FYZ6" s="2888" t="s">
        <v>3241</v>
      </c>
      <c r="FZA6" s="2888" t="s">
        <v>3241</v>
      </c>
      <c r="FZB6" s="2888" t="s">
        <v>3241</v>
      </c>
      <c r="FZC6" s="2888" t="s">
        <v>3241</v>
      </c>
      <c r="FZD6" s="2888" t="s">
        <v>3241</v>
      </c>
      <c r="FZE6" s="2888" t="s">
        <v>3241</v>
      </c>
      <c r="FZF6" s="2888" t="s">
        <v>3241</v>
      </c>
      <c r="FZG6" s="2888" t="s">
        <v>3241</v>
      </c>
      <c r="FZH6" s="2888" t="s">
        <v>3241</v>
      </c>
      <c r="FZI6" s="2888" t="s">
        <v>3241</v>
      </c>
      <c r="FZJ6" s="2888" t="s">
        <v>3241</v>
      </c>
      <c r="FZK6" s="2888" t="s">
        <v>3241</v>
      </c>
      <c r="FZL6" s="2888" t="s">
        <v>3241</v>
      </c>
      <c r="FZM6" s="2888" t="s">
        <v>3241</v>
      </c>
      <c r="FZN6" s="2888" t="s">
        <v>3241</v>
      </c>
      <c r="FZO6" s="2888" t="s">
        <v>3241</v>
      </c>
      <c r="FZP6" s="2888" t="s">
        <v>3241</v>
      </c>
      <c r="FZQ6" s="2888" t="s">
        <v>3241</v>
      </c>
      <c r="FZR6" s="2888" t="s">
        <v>3241</v>
      </c>
      <c r="FZS6" s="2888" t="s">
        <v>3241</v>
      </c>
      <c r="FZT6" s="2888" t="s">
        <v>3241</v>
      </c>
      <c r="FZU6" s="2888" t="s">
        <v>3241</v>
      </c>
      <c r="FZV6" s="2888" t="s">
        <v>3241</v>
      </c>
      <c r="FZW6" s="2888" t="s">
        <v>3241</v>
      </c>
      <c r="FZX6" s="2888" t="s">
        <v>3241</v>
      </c>
      <c r="FZY6" s="2888" t="s">
        <v>3241</v>
      </c>
      <c r="FZZ6" s="2888" t="s">
        <v>3241</v>
      </c>
      <c r="GAA6" s="2888" t="s">
        <v>3241</v>
      </c>
      <c r="GAB6" s="2888" t="s">
        <v>3241</v>
      </c>
      <c r="GAC6" s="2888" t="s">
        <v>3241</v>
      </c>
      <c r="GAD6" s="2888" t="s">
        <v>3241</v>
      </c>
      <c r="GAE6" s="2888" t="s">
        <v>3241</v>
      </c>
      <c r="GAF6" s="2888" t="s">
        <v>3241</v>
      </c>
      <c r="GAG6" s="2888" t="s">
        <v>3241</v>
      </c>
      <c r="GAH6" s="2888" t="s">
        <v>3241</v>
      </c>
      <c r="GAI6" s="2888" t="s">
        <v>3241</v>
      </c>
      <c r="GAJ6" s="2888" t="s">
        <v>3241</v>
      </c>
      <c r="GAK6" s="2888" t="s">
        <v>3241</v>
      </c>
      <c r="GAL6" s="2888" t="s">
        <v>3241</v>
      </c>
      <c r="GAM6" s="2888" t="s">
        <v>3241</v>
      </c>
      <c r="GAN6" s="2888" t="s">
        <v>3241</v>
      </c>
      <c r="GAO6" s="2888" t="s">
        <v>3241</v>
      </c>
      <c r="GAP6" s="2888" t="s">
        <v>3241</v>
      </c>
      <c r="GAQ6" s="2888" t="s">
        <v>3241</v>
      </c>
      <c r="GAR6" s="2888" t="s">
        <v>3241</v>
      </c>
      <c r="GAS6" s="2888" t="s">
        <v>3241</v>
      </c>
      <c r="GAT6" s="2888" t="s">
        <v>3241</v>
      </c>
      <c r="GAU6" s="2888" t="s">
        <v>3241</v>
      </c>
      <c r="GAV6" s="2888" t="s">
        <v>3241</v>
      </c>
      <c r="GAW6" s="2888" t="s">
        <v>3241</v>
      </c>
      <c r="GAX6" s="2888" t="s">
        <v>3241</v>
      </c>
      <c r="GAY6" s="2888" t="s">
        <v>3241</v>
      </c>
      <c r="GAZ6" s="2888" t="s">
        <v>3241</v>
      </c>
      <c r="GBA6" s="2888" t="s">
        <v>3241</v>
      </c>
      <c r="GBB6" s="2888" t="s">
        <v>3241</v>
      </c>
      <c r="GBC6" s="2888" t="s">
        <v>3241</v>
      </c>
      <c r="GBD6" s="2888" t="s">
        <v>3241</v>
      </c>
      <c r="GBE6" s="2888" t="s">
        <v>3241</v>
      </c>
      <c r="GBF6" s="2888" t="s">
        <v>3241</v>
      </c>
      <c r="GBG6" s="2888" t="s">
        <v>3241</v>
      </c>
      <c r="GBH6" s="2888" t="s">
        <v>3241</v>
      </c>
      <c r="GBI6" s="2888" t="s">
        <v>3241</v>
      </c>
      <c r="GBJ6" s="2888" t="s">
        <v>3241</v>
      </c>
      <c r="GBK6" s="2888" t="s">
        <v>3241</v>
      </c>
      <c r="GBL6" s="2888" t="s">
        <v>3241</v>
      </c>
      <c r="GBM6" s="2888" t="s">
        <v>3241</v>
      </c>
      <c r="GBN6" s="2888" t="s">
        <v>3241</v>
      </c>
      <c r="GBO6" s="2888" t="s">
        <v>3241</v>
      </c>
      <c r="GBP6" s="2888" t="s">
        <v>3241</v>
      </c>
      <c r="GBQ6" s="2888" t="s">
        <v>3241</v>
      </c>
      <c r="GBR6" s="2888" t="s">
        <v>3241</v>
      </c>
      <c r="GBS6" s="2888" t="s">
        <v>3241</v>
      </c>
      <c r="GBT6" s="2888" t="s">
        <v>3241</v>
      </c>
      <c r="GBU6" s="2888" t="s">
        <v>3241</v>
      </c>
      <c r="GBV6" s="2888" t="s">
        <v>3241</v>
      </c>
      <c r="GBW6" s="2888" t="s">
        <v>3241</v>
      </c>
      <c r="GBX6" s="2888" t="s">
        <v>3241</v>
      </c>
      <c r="GBY6" s="2888" t="s">
        <v>3241</v>
      </c>
      <c r="GBZ6" s="2888" t="s">
        <v>3241</v>
      </c>
      <c r="GCA6" s="2888" t="s">
        <v>3241</v>
      </c>
      <c r="GCB6" s="2888" t="s">
        <v>3241</v>
      </c>
      <c r="GCC6" s="2888" t="s">
        <v>3241</v>
      </c>
      <c r="GCD6" s="2888" t="s">
        <v>3241</v>
      </c>
      <c r="GCE6" s="2888" t="s">
        <v>3241</v>
      </c>
      <c r="GCF6" s="2888" t="s">
        <v>3241</v>
      </c>
      <c r="GCG6" s="2888" t="s">
        <v>3241</v>
      </c>
      <c r="GCH6" s="2888" t="s">
        <v>3241</v>
      </c>
      <c r="GCI6" s="2888" t="s">
        <v>3241</v>
      </c>
      <c r="GCJ6" s="2888" t="s">
        <v>3241</v>
      </c>
      <c r="GCK6" s="2888" t="s">
        <v>3241</v>
      </c>
      <c r="GCL6" s="2888" t="s">
        <v>3241</v>
      </c>
      <c r="GCM6" s="2888" t="s">
        <v>3241</v>
      </c>
      <c r="GCN6" s="2888" t="s">
        <v>3241</v>
      </c>
      <c r="GCO6" s="2888" t="s">
        <v>3241</v>
      </c>
      <c r="GCP6" s="2888" t="s">
        <v>3241</v>
      </c>
      <c r="GCQ6" s="2888" t="s">
        <v>3241</v>
      </c>
      <c r="GCR6" s="2888" t="s">
        <v>3241</v>
      </c>
      <c r="GCS6" s="2888" t="s">
        <v>3241</v>
      </c>
      <c r="GCT6" s="2888" t="s">
        <v>3241</v>
      </c>
      <c r="GCU6" s="2888" t="s">
        <v>3241</v>
      </c>
      <c r="GCV6" s="2888" t="s">
        <v>3241</v>
      </c>
      <c r="GCW6" s="2888" t="s">
        <v>3241</v>
      </c>
      <c r="GCX6" s="2888" t="s">
        <v>3241</v>
      </c>
      <c r="GCY6" s="2888" t="s">
        <v>3241</v>
      </c>
      <c r="GCZ6" s="2888" t="s">
        <v>3241</v>
      </c>
      <c r="GDA6" s="2888" t="s">
        <v>3241</v>
      </c>
      <c r="GDB6" s="2888" t="s">
        <v>3241</v>
      </c>
      <c r="GDC6" s="2888" t="s">
        <v>3241</v>
      </c>
      <c r="GDD6" s="2888" t="s">
        <v>3241</v>
      </c>
      <c r="GDE6" s="2888" t="s">
        <v>3241</v>
      </c>
      <c r="GDF6" s="2888" t="s">
        <v>3241</v>
      </c>
      <c r="GDG6" s="2888" t="s">
        <v>3241</v>
      </c>
      <c r="GDH6" s="2888" t="s">
        <v>3241</v>
      </c>
      <c r="GDI6" s="2888" t="s">
        <v>3241</v>
      </c>
      <c r="GDJ6" s="2888" t="s">
        <v>3241</v>
      </c>
      <c r="GDK6" s="2888" t="s">
        <v>3241</v>
      </c>
      <c r="GDL6" s="2888" t="s">
        <v>3241</v>
      </c>
      <c r="GDM6" s="2888" t="s">
        <v>3241</v>
      </c>
      <c r="GDN6" s="2888" t="s">
        <v>3241</v>
      </c>
      <c r="GDO6" s="2888" t="s">
        <v>3241</v>
      </c>
      <c r="GDP6" s="2888" t="s">
        <v>3241</v>
      </c>
      <c r="GDQ6" s="2888" t="s">
        <v>3241</v>
      </c>
      <c r="GDR6" s="2888" t="s">
        <v>3241</v>
      </c>
      <c r="GDS6" s="2888" t="s">
        <v>3241</v>
      </c>
      <c r="GDT6" s="2888" t="s">
        <v>3241</v>
      </c>
      <c r="GDU6" s="2888" t="s">
        <v>3241</v>
      </c>
      <c r="GDV6" s="2888" t="s">
        <v>3241</v>
      </c>
      <c r="GDW6" s="2888" t="s">
        <v>3241</v>
      </c>
      <c r="GDX6" s="2888" t="s">
        <v>3241</v>
      </c>
      <c r="GDY6" s="2888" t="s">
        <v>3241</v>
      </c>
      <c r="GDZ6" s="2888" t="s">
        <v>3241</v>
      </c>
      <c r="GEA6" s="2888" t="s">
        <v>3241</v>
      </c>
      <c r="GEB6" s="2888" t="s">
        <v>3241</v>
      </c>
      <c r="GEC6" s="2888" t="s">
        <v>3241</v>
      </c>
      <c r="GED6" s="2888" t="s">
        <v>3241</v>
      </c>
      <c r="GEE6" s="2888" t="s">
        <v>3241</v>
      </c>
      <c r="GEF6" s="2888" t="s">
        <v>3241</v>
      </c>
      <c r="GEG6" s="2888" t="s">
        <v>3241</v>
      </c>
      <c r="GEH6" s="2888" t="s">
        <v>3241</v>
      </c>
      <c r="GEI6" s="2888" t="s">
        <v>3241</v>
      </c>
      <c r="GEJ6" s="2888" t="s">
        <v>3241</v>
      </c>
      <c r="GEK6" s="2888" t="s">
        <v>3241</v>
      </c>
      <c r="GEL6" s="2888" t="s">
        <v>3241</v>
      </c>
      <c r="GEM6" s="2888" t="s">
        <v>3241</v>
      </c>
      <c r="GEN6" s="2888" t="s">
        <v>3241</v>
      </c>
      <c r="GEO6" s="2888" t="s">
        <v>3241</v>
      </c>
      <c r="GEP6" s="2888" t="s">
        <v>3241</v>
      </c>
      <c r="GEQ6" s="2888" t="s">
        <v>3241</v>
      </c>
      <c r="GER6" s="2888" t="s">
        <v>3241</v>
      </c>
      <c r="GES6" s="2888" t="s">
        <v>3241</v>
      </c>
      <c r="GET6" s="2888" t="s">
        <v>3241</v>
      </c>
      <c r="GEU6" s="2888" t="s">
        <v>3241</v>
      </c>
      <c r="GEV6" s="2888" t="s">
        <v>3241</v>
      </c>
      <c r="GEW6" s="2888" t="s">
        <v>3241</v>
      </c>
      <c r="GEX6" s="2888" t="s">
        <v>3241</v>
      </c>
      <c r="GEY6" s="2888" t="s">
        <v>3241</v>
      </c>
      <c r="GEZ6" s="2888" t="s">
        <v>3241</v>
      </c>
      <c r="GFA6" s="2888" t="s">
        <v>3241</v>
      </c>
      <c r="GFB6" s="2888" t="s">
        <v>3241</v>
      </c>
      <c r="GFC6" s="2888" t="s">
        <v>3241</v>
      </c>
      <c r="GFD6" s="2888" t="s">
        <v>3241</v>
      </c>
      <c r="GFE6" s="2888" t="s">
        <v>3241</v>
      </c>
      <c r="GFF6" s="2888" t="s">
        <v>3241</v>
      </c>
      <c r="GFG6" s="2888" t="s">
        <v>3241</v>
      </c>
      <c r="GFH6" s="2888" t="s">
        <v>3241</v>
      </c>
      <c r="GFI6" s="2888" t="s">
        <v>3241</v>
      </c>
      <c r="GFJ6" s="2888" t="s">
        <v>3241</v>
      </c>
      <c r="GFK6" s="2888" t="s">
        <v>3241</v>
      </c>
      <c r="GFL6" s="2888" t="s">
        <v>3241</v>
      </c>
      <c r="GFM6" s="2888" t="s">
        <v>3241</v>
      </c>
      <c r="GFN6" s="2888" t="s">
        <v>3241</v>
      </c>
      <c r="GFO6" s="2888" t="s">
        <v>3241</v>
      </c>
      <c r="GFP6" s="2888" t="s">
        <v>3241</v>
      </c>
      <c r="GFQ6" s="2888" t="s">
        <v>3241</v>
      </c>
      <c r="GFR6" s="2888" t="s">
        <v>3241</v>
      </c>
      <c r="GFS6" s="2888" t="s">
        <v>3241</v>
      </c>
      <c r="GFT6" s="2888" t="s">
        <v>3241</v>
      </c>
      <c r="GFU6" s="2888" t="s">
        <v>3241</v>
      </c>
      <c r="GFV6" s="2888" t="s">
        <v>3241</v>
      </c>
      <c r="GFW6" s="2888" t="s">
        <v>3241</v>
      </c>
      <c r="GFX6" s="2888" t="s">
        <v>3241</v>
      </c>
      <c r="GFY6" s="2888" t="s">
        <v>3241</v>
      </c>
      <c r="GFZ6" s="2888" t="s">
        <v>3241</v>
      </c>
      <c r="GGA6" s="2888" t="s">
        <v>3241</v>
      </c>
      <c r="GGB6" s="2888" t="s">
        <v>3241</v>
      </c>
      <c r="GGC6" s="2888" t="s">
        <v>3241</v>
      </c>
      <c r="GGD6" s="2888" t="s">
        <v>3241</v>
      </c>
      <c r="GGE6" s="2888" t="s">
        <v>3241</v>
      </c>
      <c r="GGF6" s="2888" t="s">
        <v>3241</v>
      </c>
      <c r="GGG6" s="2888" t="s">
        <v>3241</v>
      </c>
      <c r="GGH6" s="2888" t="s">
        <v>3241</v>
      </c>
      <c r="GGI6" s="2888" t="s">
        <v>3241</v>
      </c>
      <c r="GGJ6" s="2888" t="s">
        <v>3241</v>
      </c>
      <c r="GGK6" s="2888" t="s">
        <v>3241</v>
      </c>
      <c r="GGL6" s="2888" t="s">
        <v>3241</v>
      </c>
      <c r="GGM6" s="2888" t="s">
        <v>3241</v>
      </c>
      <c r="GGN6" s="2888" t="s">
        <v>3241</v>
      </c>
      <c r="GGO6" s="2888" t="s">
        <v>3241</v>
      </c>
      <c r="GGP6" s="2888" t="s">
        <v>3241</v>
      </c>
      <c r="GGQ6" s="2888" t="s">
        <v>3241</v>
      </c>
      <c r="GGR6" s="2888" t="s">
        <v>3241</v>
      </c>
      <c r="GGS6" s="2888" t="s">
        <v>3241</v>
      </c>
      <c r="GGT6" s="2888" t="s">
        <v>3241</v>
      </c>
      <c r="GGU6" s="2888" t="s">
        <v>3241</v>
      </c>
      <c r="GGV6" s="2888" t="s">
        <v>3241</v>
      </c>
      <c r="GGW6" s="2888" t="s">
        <v>3241</v>
      </c>
      <c r="GGX6" s="2888" t="s">
        <v>3241</v>
      </c>
      <c r="GGY6" s="2888" t="s">
        <v>3241</v>
      </c>
      <c r="GGZ6" s="2888" t="s">
        <v>3241</v>
      </c>
      <c r="GHA6" s="2888" t="s">
        <v>3241</v>
      </c>
      <c r="GHB6" s="2888" t="s">
        <v>3241</v>
      </c>
      <c r="GHC6" s="2888" t="s">
        <v>3241</v>
      </c>
      <c r="GHD6" s="2888" t="s">
        <v>3241</v>
      </c>
      <c r="GHE6" s="2888" t="s">
        <v>3241</v>
      </c>
      <c r="GHF6" s="2888" t="s">
        <v>3241</v>
      </c>
      <c r="GHG6" s="2888" t="s">
        <v>3241</v>
      </c>
      <c r="GHH6" s="2888" t="s">
        <v>3241</v>
      </c>
      <c r="GHI6" s="2888" t="s">
        <v>3241</v>
      </c>
      <c r="GHJ6" s="2888" t="s">
        <v>3241</v>
      </c>
      <c r="GHK6" s="2888" t="s">
        <v>3241</v>
      </c>
      <c r="GHL6" s="2888" t="s">
        <v>3241</v>
      </c>
      <c r="GHM6" s="2888" t="s">
        <v>3241</v>
      </c>
      <c r="GHN6" s="2888" t="s">
        <v>3241</v>
      </c>
      <c r="GHO6" s="2888" t="s">
        <v>3241</v>
      </c>
      <c r="GHP6" s="2888" t="s">
        <v>3241</v>
      </c>
      <c r="GHQ6" s="2888" t="s">
        <v>3241</v>
      </c>
      <c r="GHR6" s="2888" t="s">
        <v>3241</v>
      </c>
      <c r="GHS6" s="2888" t="s">
        <v>3241</v>
      </c>
      <c r="GHT6" s="2888" t="s">
        <v>3241</v>
      </c>
      <c r="GHU6" s="2888" t="s">
        <v>3241</v>
      </c>
      <c r="GHV6" s="2888" t="s">
        <v>3241</v>
      </c>
      <c r="GHW6" s="2888" t="s">
        <v>3241</v>
      </c>
      <c r="GHX6" s="2888" t="s">
        <v>3241</v>
      </c>
      <c r="GHY6" s="2888" t="s">
        <v>3241</v>
      </c>
      <c r="GHZ6" s="2888" t="s">
        <v>3241</v>
      </c>
      <c r="GIA6" s="2888" t="s">
        <v>3241</v>
      </c>
      <c r="GIB6" s="2888" t="s">
        <v>3241</v>
      </c>
      <c r="GIC6" s="2888" t="s">
        <v>3241</v>
      </c>
      <c r="GID6" s="2888" t="s">
        <v>3241</v>
      </c>
      <c r="GIE6" s="2888" t="s">
        <v>3241</v>
      </c>
      <c r="GIF6" s="2888" t="s">
        <v>3241</v>
      </c>
      <c r="GIG6" s="2888" t="s">
        <v>3241</v>
      </c>
      <c r="GIH6" s="2888" t="s">
        <v>3241</v>
      </c>
      <c r="GII6" s="2888" t="s">
        <v>3241</v>
      </c>
      <c r="GIJ6" s="2888" t="s">
        <v>3241</v>
      </c>
      <c r="GIK6" s="2888" t="s">
        <v>3241</v>
      </c>
      <c r="GIL6" s="2888" t="s">
        <v>3241</v>
      </c>
      <c r="GIM6" s="2888" t="s">
        <v>3241</v>
      </c>
      <c r="GIN6" s="2888" t="s">
        <v>3241</v>
      </c>
      <c r="GIO6" s="2888" t="s">
        <v>3241</v>
      </c>
      <c r="GIP6" s="2888" t="s">
        <v>3241</v>
      </c>
      <c r="GIQ6" s="2888" t="s">
        <v>3241</v>
      </c>
      <c r="GIR6" s="2888" t="s">
        <v>3241</v>
      </c>
      <c r="GIS6" s="2888" t="s">
        <v>3241</v>
      </c>
      <c r="GIT6" s="2888" t="s">
        <v>3241</v>
      </c>
      <c r="GIU6" s="2888" t="s">
        <v>3241</v>
      </c>
      <c r="GIV6" s="2888" t="s">
        <v>3241</v>
      </c>
      <c r="GIW6" s="2888" t="s">
        <v>3241</v>
      </c>
      <c r="GIX6" s="2888" t="s">
        <v>3241</v>
      </c>
      <c r="GIY6" s="2888" t="s">
        <v>3241</v>
      </c>
      <c r="GIZ6" s="2888" t="s">
        <v>3241</v>
      </c>
      <c r="GJA6" s="2888" t="s">
        <v>3241</v>
      </c>
      <c r="GJB6" s="2888" t="s">
        <v>3241</v>
      </c>
      <c r="GJC6" s="2888" t="s">
        <v>3241</v>
      </c>
      <c r="GJD6" s="2888" t="s">
        <v>3241</v>
      </c>
      <c r="GJE6" s="2888" t="s">
        <v>3241</v>
      </c>
      <c r="GJF6" s="2888" t="s">
        <v>3241</v>
      </c>
      <c r="GJG6" s="2888" t="s">
        <v>3241</v>
      </c>
      <c r="GJH6" s="2888" t="s">
        <v>3241</v>
      </c>
      <c r="GJI6" s="2888" t="s">
        <v>3241</v>
      </c>
      <c r="GJJ6" s="2888" t="s">
        <v>3241</v>
      </c>
      <c r="GJK6" s="2888" t="s">
        <v>3241</v>
      </c>
      <c r="GJL6" s="2888" t="s">
        <v>3241</v>
      </c>
      <c r="GJM6" s="2888" t="s">
        <v>3241</v>
      </c>
      <c r="GJN6" s="2888" t="s">
        <v>3241</v>
      </c>
      <c r="GJO6" s="2888" t="s">
        <v>3241</v>
      </c>
      <c r="GJP6" s="2888" t="s">
        <v>3241</v>
      </c>
      <c r="GJQ6" s="2888" t="s">
        <v>3241</v>
      </c>
      <c r="GJR6" s="2888" t="s">
        <v>3241</v>
      </c>
      <c r="GJS6" s="2888" t="s">
        <v>3241</v>
      </c>
      <c r="GJT6" s="2888" t="s">
        <v>3241</v>
      </c>
      <c r="GJU6" s="2888" t="s">
        <v>3241</v>
      </c>
      <c r="GJV6" s="2888" t="s">
        <v>3241</v>
      </c>
      <c r="GJW6" s="2888" t="s">
        <v>3241</v>
      </c>
      <c r="GJX6" s="2888" t="s">
        <v>3241</v>
      </c>
      <c r="GJY6" s="2888" t="s">
        <v>3241</v>
      </c>
      <c r="GJZ6" s="2888" t="s">
        <v>3241</v>
      </c>
      <c r="GKA6" s="2888" t="s">
        <v>3241</v>
      </c>
      <c r="GKB6" s="2888" t="s">
        <v>3241</v>
      </c>
      <c r="GKC6" s="2888" t="s">
        <v>3241</v>
      </c>
      <c r="GKD6" s="2888" t="s">
        <v>3241</v>
      </c>
      <c r="GKE6" s="2888" t="s">
        <v>3241</v>
      </c>
      <c r="GKF6" s="2888" t="s">
        <v>3241</v>
      </c>
      <c r="GKG6" s="2888" t="s">
        <v>3241</v>
      </c>
      <c r="GKH6" s="2888" t="s">
        <v>3241</v>
      </c>
      <c r="GKI6" s="2888" t="s">
        <v>3241</v>
      </c>
      <c r="GKJ6" s="2888" t="s">
        <v>3241</v>
      </c>
      <c r="GKK6" s="2888" t="s">
        <v>3241</v>
      </c>
      <c r="GKL6" s="2888" t="s">
        <v>3241</v>
      </c>
      <c r="GKM6" s="2888" t="s">
        <v>3241</v>
      </c>
      <c r="GKN6" s="2888" t="s">
        <v>3241</v>
      </c>
      <c r="GKO6" s="2888" t="s">
        <v>3241</v>
      </c>
      <c r="GKP6" s="2888" t="s">
        <v>3241</v>
      </c>
      <c r="GKQ6" s="2888" t="s">
        <v>3241</v>
      </c>
      <c r="GKR6" s="2888" t="s">
        <v>3241</v>
      </c>
      <c r="GKS6" s="2888" t="s">
        <v>3241</v>
      </c>
      <c r="GKT6" s="2888" t="s">
        <v>3241</v>
      </c>
      <c r="GKU6" s="2888" t="s">
        <v>3241</v>
      </c>
      <c r="GKV6" s="2888" t="s">
        <v>3241</v>
      </c>
      <c r="GKW6" s="2888" t="s">
        <v>3241</v>
      </c>
      <c r="GKX6" s="2888" t="s">
        <v>3241</v>
      </c>
      <c r="GKY6" s="2888" t="s">
        <v>3241</v>
      </c>
      <c r="GKZ6" s="2888" t="s">
        <v>3241</v>
      </c>
      <c r="GLA6" s="2888" t="s">
        <v>3241</v>
      </c>
      <c r="GLB6" s="2888" t="s">
        <v>3241</v>
      </c>
      <c r="GLC6" s="2888" t="s">
        <v>3241</v>
      </c>
      <c r="GLD6" s="2888" t="s">
        <v>3241</v>
      </c>
      <c r="GLE6" s="2888" t="s">
        <v>3241</v>
      </c>
      <c r="GLF6" s="2888" t="s">
        <v>3241</v>
      </c>
      <c r="GLG6" s="2888" t="s">
        <v>3241</v>
      </c>
      <c r="GLH6" s="2888" t="s">
        <v>3241</v>
      </c>
      <c r="GLI6" s="2888" t="s">
        <v>3241</v>
      </c>
      <c r="GLJ6" s="2888" t="s">
        <v>3241</v>
      </c>
      <c r="GLK6" s="2888" t="s">
        <v>3241</v>
      </c>
      <c r="GLL6" s="2888" t="s">
        <v>3241</v>
      </c>
      <c r="GLM6" s="2888" t="s">
        <v>3241</v>
      </c>
      <c r="GLN6" s="2888" t="s">
        <v>3241</v>
      </c>
      <c r="GLO6" s="2888" t="s">
        <v>3241</v>
      </c>
      <c r="GLP6" s="2888" t="s">
        <v>3241</v>
      </c>
      <c r="GLQ6" s="2888" t="s">
        <v>3241</v>
      </c>
      <c r="GLR6" s="2888" t="s">
        <v>3241</v>
      </c>
      <c r="GLS6" s="2888" t="s">
        <v>3241</v>
      </c>
      <c r="GLT6" s="2888" t="s">
        <v>3241</v>
      </c>
      <c r="GLU6" s="2888" t="s">
        <v>3241</v>
      </c>
      <c r="GLV6" s="2888" t="s">
        <v>3241</v>
      </c>
      <c r="GLW6" s="2888" t="s">
        <v>3241</v>
      </c>
      <c r="GLX6" s="2888" t="s">
        <v>3241</v>
      </c>
      <c r="GLY6" s="2888" t="s">
        <v>3241</v>
      </c>
      <c r="GLZ6" s="2888" t="s">
        <v>3241</v>
      </c>
      <c r="GMA6" s="2888" t="s">
        <v>3241</v>
      </c>
      <c r="GMB6" s="2888" t="s">
        <v>3241</v>
      </c>
      <c r="GMC6" s="2888" t="s">
        <v>3241</v>
      </c>
      <c r="GMD6" s="2888" t="s">
        <v>3241</v>
      </c>
      <c r="GME6" s="2888" t="s">
        <v>3241</v>
      </c>
      <c r="GMF6" s="2888" t="s">
        <v>3241</v>
      </c>
      <c r="GMG6" s="2888" t="s">
        <v>3241</v>
      </c>
      <c r="GMH6" s="2888" t="s">
        <v>3241</v>
      </c>
      <c r="GMI6" s="2888" t="s">
        <v>3241</v>
      </c>
      <c r="GMJ6" s="2888" t="s">
        <v>3241</v>
      </c>
      <c r="GMK6" s="2888" t="s">
        <v>3241</v>
      </c>
      <c r="GML6" s="2888" t="s">
        <v>3241</v>
      </c>
      <c r="GMM6" s="2888" t="s">
        <v>3241</v>
      </c>
      <c r="GMN6" s="2888" t="s">
        <v>3241</v>
      </c>
      <c r="GMO6" s="2888" t="s">
        <v>3241</v>
      </c>
      <c r="GMP6" s="2888" t="s">
        <v>3241</v>
      </c>
      <c r="GMQ6" s="2888" t="s">
        <v>3241</v>
      </c>
      <c r="GMR6" s="2888" t="s">
        <v>3241</v>
      </c>
      <c r="GMS6" s="2888" t="s">
        <v>3241</v>
      </c>
      <c r="GMT6" s="2888" t="s">
        <v>3241</v>
      </c>
      <c r="GMU6" s="2888" t="s">
        <v>3241</v>
      </c>
      <c r="GMV6" s="2888" t="s">
        <v>3241</v>
      </c>
      <c r="GMW6" s="2888" t="s">
        <v>3241</v>
      </c>
      <c r="GMX6" s="2888" t="s">
        <v>3241</v>
      </c>
      <c r="GMY6" s="2888" t="s">
        <v>3241</v>
      </c>
      <c r="GMZ6" s="2888" t="s">
        <v>3241</v>
      </c>
      <c r="GNA6" s="2888" t="s">
        <v>3241</v>
      </c>
      <c r="GNB6" s="2888" t="s">
        <v>3241</v>
      </c>
      <c r="GNC6" s="2888" t="s">
        <v>3241</v>
      </c>
      <c r="GND6" s="2888" t="s">
        <v>3241</v>
      </c>
      <c r="GNE6" s="2888" t="s">
        <v>3241</v>
      </c>
      <c r="GNF6" s="2888" t="s">
        <v>3241</v>
      </c>
      <c r="GNG6" s="2888" t="s">
        <v>3241</v>
      </c>
      <c r="GNH6" s="2888" t="s">
        <v>3241</v>
      </c>
      <c r="GNI6" s="2888" t="s">
        <v>3241</v>
      </c>
      <c r="GNJ6" s="2888" t="s">
        <v>3241</v>
      </c>
      <c r="GNK6" s="2888" t="s">
        <v>3241</v>
      </c>
      <c r="GNL6" s="2888" t="s">
        <v>3241</v>
      </c>
      <c r="GNM6" s="2888" t="s">
        <v>3241</v>
      </c>
      <c r="GNN6" s="2888" t="s">
        <v>3241</v>
      </c>
      <c r="GNO6" s="2888" t="s">
        <v>3241</v>
      </c>
      <c r="GNP6" s="2888" t="s">
        <v>3241</v>
      </c>
      <c r="GNQ6" s="2888" t="s">
        <v>3241</v>
      </c>
      <c r="GNR6" s="2888" t="s">
        <v>3241</v>
      </c>
      <c r="GNS6" s="2888" t="s">
        <v>3241</v>
      </c>
      <c r="GNT6" s="2888" t="s">
        <v>3241</v>
      </c>
      <c r="GNU6" s="2888" t="s">
        <v>3241</v>
      </c>
      <c r="GNV6" s="2888" t="s">
        <v>3241</v>
      </c>
      <c r="GNW6" s="2888" t="s">
        <v>3241</v>
      </c>
      <c r="GNX6" s="2888" t="s">
        <v>3241</v>
      </c>
      <c r="GNY6" s="2888" t="s">
        <v>3241</v>
      </c>
      <c r="GNZ6" s="2888" t="s">
        <v>3241</v>
      </c>
      <c r="GOA6" s="2888" t="s">
        <v>3241</v>
      </c>
      <c r="GOB6" s="2888" t="s">
        <v>3241</v>
      </c>
      <c r="GOC6" s="2888" t="s">
        <v>3241</v>
      </c>
      <c r="GOD6" s="2888" t="s">
        <v>3241</v>
      </c>
      <c r="GOE6" s="2888" t="s">
        <v>3241</v>
      </c>
      <c r="GOF6" s="2888" t="s">
        <v>3241</v>
      </c>
      <c r="GOG6" s="2888" t="s">
        <v>3241</v>
      </c>
      <c r="GOH6" s="2888" t="s">
        <v>3241</v>
      </c>
      <c r="GOI6" s="2888" t="s">
        <v>3241</v>
      </c>
      <c r="GOJ6" s="2888" t="s">
        <v>3241</v>
      </c>
      <c r="GOK6" s="2888" t="s">
        <v>3241</v>
      </c>
      <c r="GOL6" s="2888" t="s">
        <v>3241</v>
      </c>
      <c r="GOM6" s="2888" t="s">
        <v>3241</v>
      </c>
      <c r="GON6" s="2888" t="s">
        <v>3241</v>
      </c>
      <c r="GOO6" s="2888" t="s">
        <v>3241</v>
      </c>
      <c r="GOP6" s="2888" t="s">
        <v>3241</v>
      </c>
      <c r="GOQ6" s="2888" t="s">
        <v>3241</v>
      </c>
      <c r="GOR6" s="2888" t="s">
        <v>3241</v>
      </c>
      <c r="GOS6" s="2888" t="s">
        <v>3241</v>
      </c>
      <c r="GOT6" s="2888" t="s">
        <v>3241</v>
      </c>
      <c r="GOU6" s="2888" t="s">
        <v>3241</v>
      </c>
      <c r="GOV6" s="2888" t="s">
        <v>3241</v>
      </c>
      <c r="GOW6" s="2888" t="s">
        <v>3241</v>
      </c>
      <c r="GOX6" s="2888" t="s">
        <v>3241</v>
      </c>
      <c r="GOY6" s="2888" t="s">
        <v>3241</v>
      </c>
      <c r="GOZ6" s="2888" t="s">
        <v>3241</v>
      </c>
      <c r="GPA6" s="2888" t="s">
        <v>3241</v>
      </c>
      <c r="GPB6" s="2888" t="s">
        <v>3241</v>
      </c>
      <c r="GPC6" s="2888" t="s">
        <v>3241</v>
      </c>
      <c r="GPD6" s="2888" t="s">
        <v>3241</v>
      </c>
      <c r="GPE6" s="2888" t="s">
        <v>3241</v>
      </c>
      <c r="GPF6" s="2888" t="s">
        <v>3241</v>
      </c>
      <c r="GPG6" s="2888" t="s">
        <v>3241</v>
      </c>
      <c r="GPH6" s="2888" t="s">
        <v>3241</v>
      </c>
      <c r="GPI6" s="2888" t="s">
        <v>3241</v>
      </c>
      <c r="GPJ6" s="2888" t="s">
        <v>3241</v>
      </c>
      <c r="GPK6" s="2888" t="s">
        <v>3241</v>
      </c>
      <c r="GPL6" s="2888" t="s">
        <v>3241</v>
      </c>
      <c r="GPM6" s="2888" t="s">
        <v>3241</v>
      </c>
      <c r="GPN6" s="2888" t="s">
        <v>3241</v>
      </c>
      <c r="GPO6" s="2888" t="s">
        <v>3241</v>
      </c>
      <c r="GPP6" s="2888" t="s">
        <v>3241</v>
      </c>
      <c r="GPQ6" s="2888" t="s">
        <v>3241</v>
      </c>
      <c r="GPR6" s="2888" t="s">
        <v>3241</v>
      </c>
      <c r="GPS6" s="2888" t="s">
        <v>3241</v>
      </c>
      <c r="GPT6" s="2888" t="s">
        <v>3241</v>
      </c>
      <c r="GPU6" s="2888" t="s">
        <v>3241</v>
      </c>
      <c r="GPV6" s="2888" t="s">
        <v>3241</v>
      </c>
      <c r="GPW6" s="2888" t="s">
        <v>3241</v>
      </c>
      <c r="GPX6" s="2888" t="s">
        <v>3241</v>
      </c>
      <c r="GPY6" s="2888" t="s">
        <v>3241</v>
      </c>
      <c r="GPZ6" s="2888" t="s">
        <v>3241</v>
      </c>
      <c r="GQA6" s="2888" t="s">
        <v>3241</v>
      </c>
      <c r="GQB6" s="2888" t="s">
        <v>3241</v>
      </c>
      <c r="GQC6" s="2888" t="s">
        <v>3241</v>
      </c>
      <c r="GQD6" s="2888" t="s">
        <v>3241</v>
      </c>
      <c r="GQE6" s="2888" t="s">
        <v>3241</v>
      </c>
      <c r="GQF6" s="2888" t="s">
        <v>3241</v>
      </c>
      <c r="GQG6" s="2888" t="s">
        <v>3241</v>
      </c>
      <c r="GQH6" s="2888" t="s">
        <v>3241</v>
      </c>
      <c r="GQI6" s="2888" t="s">
        <v>3241</v>
      </c>
      <c r="GQJ6" s="2888" t="s">
        <v>3241</v>
      </c>
      <c r="GQK6" s="2888" t="s">
        <v>3241</v>
      </c>
      <c r="GQL6" s="2888" t="s">
        <v>3241</v>
      </c>
      <c r="GQM6" s="2888" t="s">
        <v>3241</v>
      </c>
      <c r="GQN6" s="2888" t="s">
        <v>3241</v>
      </c>
      <c r="GQO6" s="2888" t="s">
        <v>3241</v>
      </c>
      <c r="GQP6" s="2888" t="s">
        <v>3241</v>
      </c>
      <c r="GQQ6" s="2888" t="s">
        <v>3241</v>
      </c>
      <c r="GQR6" s="2888" t="s">
        <v>3241</v>
      </c>
      <c r="GQS6" s="2888" t="s">
        <v>3241</v>
      </c>
      <c r="GQT6" s="2888" t="s">
        <v>3241</v>
      </c>
      <c r="GQU6" s="2888" t="s">
        <v>3241</v>
      </c>
      <c r="GQV6" s="2888" t="s">
        <v>3241</v>
      </c>
      <c r="GQW6" s="2888" t="s">
        <v>3241</v>
      </c>
      <c r="GQX6" s="2888" t="s">
        <v>3241</v>
      </c>
      <c r="GQY6" s="2888" t="s">
        <v>3241</v>
      </c>
      <c r="GQZ6" s="2888" t="s">
        <v>3241</v>
      </c>
      <c r="GRA6" s="2888" t="s">
        <v>3241</v>
      </c>
      <c r="GRB6" s="2888" t="s">
        <v>3241</v>
      </c>
      <c r="GRC6" s="2888" t="s">
        <v>3241</v>
      </c>
      <c r="GRD6" s="2888" t="s">
        <v>3241</v>
      </c>
      <c r="GRE6" s="2888" t="s">
        <v>3241</v>
      </c>
      <c r="GRF6" s="2888" t="s">
        <v>3241</v>
      </c>
      <c r="GRG6" s="2888" t="s">
        <v>3241</v>
      </c>
      <c r="GRH6" s="2888" t="s">
        <v>3241</v>
      </c>
      <c r="GRI6" s="2888" t="s">
        <v>3241</v>
      </c>
      <c r="GRJ6" s="2888" t="s">
        <v>3241</v>
      </c>
      <c r="GRK6" s="2888" t="s">
        <v>3241</v>
      </c>
      <c r="GRL6" s="2888" t="s">
        <v>3241</v>
      </c>
      <c r="GRM6" s="2888" t="s">
        <v>3241</v>
      </c>
      <c r="GRN6" s="2888" t="s">
        <v>3241</v>
      </c>
      <c r="GRO6" s="2888" t="s">
        <v>3241</v>
      </c>
      <c r="GRP6" s="2888" t="s">
        <v>3241</v>
      </c>
      <c r="GRQ6" s="2888" t="s">
        <v>3241</v>
      </c>
      <c r="GRR6" s="2888" t="s">
        <v>3241</v>
      </c>
      <c r="GRS6" s="2888" t="s">
        <v>3241</v>
      </c>
      <c r="GRT6" s="2888" t="s">
        <v>3241</v>
      </c>
      <c r="GRU6" s="2888" t="s">
        <v>3241</v>
      </c>
      <c r="GRV6" s="2888" t="s">
        <v>3241</v>
      </c>
      <c r="GRW6" s="2888" t="s">
        <v>3241</v>
      </c>
      <c r="GRX6" s="2888" t="s">
        <v>3241</v>
      </c>
      <c r="GRY6" s="2888" t="s">
        <v>3241</v>
      </c>
      <c r="GRZ6" s="2888" t="s">
        <v>3241</v>
      </c>
      <c r="GSA6" s="2888" t="s">
        <v>3241</v>
      </c>
      <c r="GSB6" s="2888" t="s">
        <v>3241</v>
      </c>
      <c r="GSC6" s="2888" t="s">
        <v>3241</v>
      </c>
      <c r="GSD6" s="2888" t="s">
        <v>3241</v>
      </c>
      <c r="GSE6" s="2888" t="s">
        <v>3241</v>
      </c>
      <c r="GSF6" s="2888" t="s">
        <v>3241</v>
      </c>
      <c r="GSG6" s="2888" t="s">
        <v>3241</v>
      </c>
      <c r="GSH6" s="2888" t="s">
        <v>3241</v>
      </c>
      <c r="GSI6" s="2888" t="s">
        <v>3241</v>
      </c>
      <c r="GSJ6" s="2888" t="s">
        <v>3241</v>
      </c>
      <c r="GSK6" s="2888" t="s">
        <v>3241</v>
      </c>
      <c r="GSL6" s="2888" t="s">
        <v>3241</v>
      </c>
      <c r="GSM6" s="2888" t="s">
        <v>3241</v>
      </c>
      <c r="GSN6" s="2888" t="s">
        <v>3241</v>
      </c>
      <c r="GSO6" s="2888" t="s">
        <v>3241</v>
      </c>
      <c r="GSP6" s="2888" t="s">
        <v>3241</v>
      </c>
      <c r="GSQ6" s="2888" t="s">
        <v>3241</v>
      </c>
      <c r="GSR6" s="2888" t="s">
        <v>3241</v>
      </c>
      <c r="GSS6" s="2888" t="s">
        <v>3241</v>
      </c>
      <c r="GST6" s="2888" t="s">
        <v>3241</v>
      </c>
      <c r="GSU6" s="2888" t="s">
        <v>3241</v>
      </c>
      <c r="GSV6" s="2888" t="s">
        <v>3241</v>
      </c>
      <c r="GSW6" s="2888" t="s">
        <v>3241</v>
      </c>
      <c r="GSX6" s="2888" t="s">
        <v>3241</v>
      </c>
      <c r="GSY6" s="2888" t="s">
        <v>3241</v>
      </c>
      <c r="GSZ6" s="2888" t="s">
        <v>3241</v>
      </c>
      <c r="GTA6" s="2888" t="s">
        <v>3241</v>
      </c>
      <c r="GTB6" s="2888" t="s">
        <v>3241</v>
      </c>
      <c r="GTC6" s="2888" t="s">
        <v>3241</v>
      </c>
      <c r="GTD6" s="2888" t="s">
        <v>3241</v>
      </c>
      <c r="GTE6" s="2888" t="s">
        <v>3241</v>
      </c>
      <c r="GTF6" s="2888" t="s">
        <v>3241</v>
      </c>
      <c r="GTG6" s="2888" t="s">
        <v>3241</v>
      </c>
      <c r="GTH6" s="2888" t="s">
        <v>3241</v>
      </c>
      <c r="GTI6" s="2888" t="s">
        <v>3241</v>
      </c>
      <c r="GTJ6" s="2888" t="s">
        <v>3241</v>
      </c>
      <c r="GTK6" s="2888" t="s">
        <v>3241</v>
      </c>
      <c r="GTL6" s="2888" t="s">
        <v>3241</v>
      </c>
      <c r="GTM6" s="2888" t="s">
        <v>3241</v>
      </c>
      <c r="GTN6" s="2888" t="s">
        <v>3241</v>
      </c>
      <c r="GTO6" s="2888" t="s">
        <v>3241</v>
      </c>
      <c r="GTP6" s="2888" t="s">
        <v>3241</v>
      </c>
      <c r="GTQ6" s="2888" t="s">
        <v>3241</v>
      </c>
      <c r="GTR6" s="2888" t="s">
        <v>3241</v>
      </c>
      <c r="GTS6" s="2888" t="s">
        <v>3241</v>
      </c>
      <c r="GTT6" s="2888" t="s">
        <v>3241</v>
      </c>
      <c r="GTU6" s="2888" t="s">
        <v>3241</v>
      </c>
      <c r="GTV6" s="2888" t="s">
        <v>3241</v>
      </c>
      <c r="GTW6" s="2888" t="s">
        <v>3241</v>
      </c>
      <c r="GTX6" s="2888" t="s">
        <v>3241</v>
      </c>
      <c r="GTY6" s="2888" t="s">
        <v>3241</v>
      </c>
      <c r="GTZ6" s="2888" t="s">
        <v>3241</v>
      </c>
      <c r="GUA6" s="2888" t="s">
        <v>3241</v>
      </c>
      <c r="GUB6" s="2888" t="s">
        <v>3241</v>
      </c>
      <c r="GUC6" s="2888" t="s">
        <v>3241</v>
      </c>
      <c r="GUD6" s="2888" t="s">
        <v>3241</v>
      </c>
      <c r="GUE6" s="2888" t="s">
        <v>3241</v>
      </c>
      <c r="GUF6" s="2888" t="s">
        <v>3241</v>
      </c>
      <c r="GUG6" s="2888" t="s">
        <v>3241</v>
      </c>
      <c r="GUH6" s="2888" t="s">
        <v>3241</v>
      </c>
      <c r="GUI6" s="2888" t="s">
        <v>3241</v>
      </c>
      <c r="GUJ6" s="2888" t="s">
        <v>3241</v>
      </c>
      <c r="GUK6" s="2888" t="s">
        <v>3241</v>
      </c>
      <c r="GUL6" s="2888" t="s">
        <v>3241</v>
      </c>
      <c r="GUM6" s="2888" t="s">
        <v>3241</v>
      </c>
      <c r="GUN6" s="2888" t="s">
        <v>3241</v>
      </c>
      <c r="GUO6" s="2888" t="s">
        <v>3241</v>
      </c>
      <c r="GUP6" s="2888" t="s">
        <v>3241</v>
      </c>
      <c r="GUQ6" s="2888" t="s">
        <v>3241</v>
      </c>
      <c r="GUR6" s="2888" t="s">
        <v>3241</v>
      </c>
      <c r="GUS6" s="2888" t="s">
        <v>3241</v>
      </c>
      <c r="GUT6" s="2888" t="s">
        <v>3241</v>
      </c>
      <c r="GUU6" s="2888" t="s">
        <v>3241</v>
      </c>
      <c r="GUV6" s="2888" t="s">
        <v>3241</v>
      </c>
      <c r="GUW6" s="2888" t="s">
        <v>3241</v>
      </c>
      <c r="GUX6" s="2888" t="s">
        <v>3241</v>
      </c>
      <c r="GUY6" s="2888" t="s">
        <v>3241</v>
      </c>
      <c r="GUZ6" s="2888" t="s">
        <v>3241</v>
      </c>
      <c r="GVA6" s="2888" t="s">
        <v>3241</v>
      </c>
      <c r="GVB6" s="2888" t="s">
        <v>3241</v>
      </c>
      <c r="GVC6" s="2888" t="s">
        <v>3241</v>
      </c>
      <c r="GVD6" s="2888" t="s">
        <v>3241</v>
      </c>
      <c r="GVE6" s="2888" t="s">
        <v>3241</v>
      </c>
      <c r="GVF6" s="2888" t="s">
        <v>3241</v>
      </c>
      <c r="GVG6" s="2888" t="s">
        <v>3241</v>
      </c>
      <c r="GVH6" s="2888" t="s">
        <v>3241</v>
      </c>
      <c r="GVI6" s="2888" t="s">
        <v>3241</v>
      </c>
      <c r="GVJ6" s="2888" t="s">
        <v>3241</v>
      </c>
      <c r="GVK6" s="2888" t="s">
        <v>3241</v>
      </c>
      <c r="GVL6" s="2888" t="s">
        <v>3241</v>
      </c>
      <c r="GVM6" s="2888" t="s">
        <v>3241</v>
      </c>
      <c r="GVN6" s="2888" t="s">
        <v>3241</v>
      </c>
      <c r="GVO6" s="2888" t="s">
        <v>3241</v>
      </c>
      <c r="GVP6" s="2888" t="s">
        <v>3241</v>
      </c>
      <c r="GVQ6" s="2888" t="s">
        <v>3241</v>
      </c>
      <c r="GVR6" s="2888" t="s">
        <v>3241</v>
      </c>
      <c r="GVS6" s="2888" t="s">
        <v>3241</v>
      </c>
      <c r="GVT6" s="2888" t="s">
        <v>3241</v>
      </c>
      <c r="GVU6" s="2888" t="s">
        <v>3241</v>
      </c>
      <c r="GVV6" s="2888" t="s">
        <v>3241</v>
      </c>
      <c r="GVW6" s="2888" t="s">
        <v>3241</v>
      </c>
      <c r="GVX6" s="2888" t="s">
        <v>3241</v>
      </c>
      <c r="GVY6" s="2888" t="s">
        <v>3241</v>
      </c>
      <c r="GVZ6" s="2888" t="s">
        <v>3241</v>
      </c>
      <c r="GWA6" s="2888" t="s">
        <v>3241</v>
      </c>
      <c r="GWB6" s="2888" t="s">
        <v>3241</v>
      </c>
      <c r="GWC6" s="2888" t="s">
        <v>3241</v>
      </c>
      <c r="GWD6" s="2888" t="s">
        <v>3241</v>
      </c>
      <c r="GWE6" s="2888" t="s">
        <v>3241</v>
      </c>
      <c r="GWF6" s="2888" t="s">
        <v>3241</v>
      </c>
      <c r="GWG6" s="2888" t="s">
        <v>3241</v>
      </c>
      <c r="GWH6" s="2888" t="s">
        <v>3241</v>
      </c>
      <c r="GWI6" s="2888" t="s">
        <v>3241</v>
      </c>
      <c r="GWJ6" s="2888" t="s">
        <v>3241</v>
      </c>
      <c r="GWK6" s="2888" t="s">
        <v>3241</v>
      </c>
      <c r="GWL6" s="2888" t="s">
        <v>3241</v>
      </c>
      <c r="GWM6" s="2888" t="s">
        <v>3241</v>
      </c>
      <c r="GWN6" s="2888" t="s">
        <v>3241</v>
      </c>
      <c r="GWO6" s="2888" t="s">
        <v>3241</v>
      </c>
      <c r="GWP6" s="2888" t="s">
        <v>3241</v>
      </c>
      <c r="GWQ6" s="2888" t="s">
        <v>3241</v>
      </c>
      <c r="GWR6" s="2888" t="s">
        <v>3241</v>
      </c>
      <c r="GWS6" s="2888" t="s">
        <v>3241</v>
      </c>
      <c r="GWT6" s="2888" t="s">
        <v>3241</v>
      </c>
      <c r="GWU6" s="2888" t="s">
        <v>3241</v>
      </c>
      <c r="GWV6" s="2888" t="s">
        <v>3241</v>
      </c>
      <c r="GWW6" s="2888" t="s">
        <v>3241</v>
      </c>
      <c r="GWX6" s="2888" t="s">
        <v>3241</v>
      </c>
      <c r="GWY6" s="2888" t="s">
        <v>3241</v>
      </c>
      <c r="GWZ6" s="2888" t="s">
        <v>3241</v>
      </c>
      <c r="GXA6" s="2888" t="s">
        <v>3241</v>
      </c>
      <c r="GXB6" s="2888" t="s">
        <v>3241</v>
      </c>
      <c r="GXC6" s="2888" t="s">
        <v>3241</v>
      </c>
      <c r="GXD6" s="2888" t="s">
        <v>3241</v>
      </c>
      <c r="GXE6" s="2888" t="s">
        <v>3241</v>
      </c>
      <c r="GXF6" s="2888" t="s">
        <v>3241</v>
      </c>
      <c r="GXG6" s="2888" t="s">
        <v>3241</v>
      </c>
      <c r="GXH6" s="2888" t="s">
        <v>3241</v>
      </c>
      <c r="GXI6" s="2888" t="s">
        <v>3241</v>
      </c>
      <c r="GXJ6" s="2888" t="s">
        <v>3241</v>
      </c>
      <c r="GXK6" s="2888" t="s">
        <v>3241</v>
      </c>
      <c r="GXL6" s="2888" t="s">
        <v>3241</v>
      </c>
      <c r="GXM6" s="2888" t="s">
        <v>3241</v>
      </c>
      <c r="GXN6" s="2888" t="s">
        <v>3241</v>
      </c>
      <c r="GXO6" s="2888" t="s">
        <v>3241</v>
      </c>
      <c r="GXP6" s="2888" t="s">
        <v>3241</v>
      </c>
      <c r="GXQ6" s="2888" t="s">
        <v>3241</v>
      </c>
      <c r="GXR6" s="2888" t="s">
        <v>3241</v>
      </c>
      <c r="GXS6" s="2888" t="s">
        <v>3241</v>
      </c>
      <c r="GXT6" s="2888" t="s">
        <v>3241</v>
      </c>
      <c r="GXU6" s="2888" t="s">
        <v>3241</v>
      </c>
      <c r="GXV6" s="2888" t="s">
        <v>3241</v>
      </c>
      <c r="GXW6" s="2888" t="s">
        <v>3241</v>
      </c>
      <c r="GXX6" s="2888" t="s">
        <v>3241</v>
      </c>
      <c r="GXY6" s="2888" t="s">
        <v>3241</v>
      </c>
      <c r="GXZ6" s="2888" t="s">
        <v>3241</v>
      </c>
      <c r="GYA6" s="2888" t="s">
        <v>3241</v>
      </c>
      <c r="GYB6" s="2888" t="s">
        <v>3241</v>
      </c>
      <c r="GYC6" s="2888" t="s">
        <v>3241</v>
      </c>
      <c r="GYD6" s="2888" t="s">
        <v>3241</v>
      </c>
      <c r="GYE6" s="2888" t="s">
        <v>3241</v>
      </c>
      <c r="GYF6" s="2888" t="s">
        <v>3241</v>
      </c>
      <c r="GYG6" s="2888" t="s">
        <v>3241</v>
      </c>
      <c r="GYH6" s="2888" t="s">
        <v>3241</v>
      </c>
      <c r="GYI6" s="2888" t="s">
        <v>3241</v>
      </c>
      <c r="GYJ6" s="2888" t="s">
        <v>3241</v>
      </c>
      <c r="GYK6" s="2888" t="s">
        <v>3241</v>
      </c>
      <c r="GYL6" s="2888" t="s">
        <v>3241</v>
      </c>
      <c r="GYM6" s="2888" t="s">
        <v>3241</v>
      </c>
      <c r="GYN6" s="2888" t="s">
        <v>3241</v>
      </c>
      <c r="GYO6" s="2888" t="s">
        <v>3241</v>
      </c>
      <c r="GYP6" s="2888" t="s">
        <v>3241</v>
      </c>
      <c r="GYQ6" s="2888" t="s">
        <v>3241</v>
      </c>
      <c r="GYR6" s="2888" t="s">
        <v>3241</v>
      </c>
      <c r="GYS6" s="2888" t="s">
        <v>3241</v>
      </c>
      <c r="GYT6" s="2888" t="s">
        <v>3241</v>
      </c>
      <c r="GYU6" s="2888" t="s">
        <v>3241</v>
      </c>
      <c r="GYV6" s="2888" t="s">
        <v>3241</v>
      </c>
      <c r="GYW6" s="2888" t="s">
        <v>3241</v>
      </c>
      <c r="GYX6" s="2888" t="s">
        <v>3241</v>
      </c>
      <c r="GYY6" s="2888" t="s">
        <v>3241</v>
      </c>
      <c r="GYZ6" s="2888" t="s">
        <v>3241</v>
      </c>
      <c r="GZA6" s="2888" t="s">
        <v>3241</v>
      </c>
      <c r="GZB6" s="2888" t="s">
        <v>3241</v>
      </c>
      <c r="GZC6" s="2888" t="s">
        <v>3241</v>
      </c>
      <c r="GZD6" s="2888" t="s">
        <v>3241</v>
      </c>
      <c r="GZE6" s="2888" t="s">
        <v>3241</v>
      </c>
      <c r="GZF6" s="2888" t="s">
        <v>3241</v>
      </c>
      <c r="GZG6" s="2888" t="s">
        <v>3241</v>
      </c>
      <c r="GZH6" s="2888" t="s">
        <v>3241</v>
      </c>
      <c r="GZI6" s="2888" t="s">
        <v>3241</v>
      </c>
      <c r="GZJ6" s="2888" t="s">
        <v>3241</v>
      </c>
      <c r="GZK6" s="2888" t="s">
        <v>3241</v>
      </c>
      <c r="GZL6" s="2888" t="s">
        <v>3241</v>
      </c>
      <c r="GZM6" s="2888" t="s">
        <v>3241</v>
      </c>
      <c r="GZN6" s="2888" t="s">
        <v>3241</v>
      </c>
      <c r="GZO6" s="2888" t="s">
        <v>3241</v>
      </c>
      <c r="GZP6" s="2888" t="s">
        <v>3241</v>
      </c>
      <c r="GZQ6" s="2888" t="s">
        <v>3241</v>
      </c>
      <c r="GZR6" s="2888" t="s">
        <v>3241</v>
      </c>
      <c r="GZS6" s="2888" t="s">
        <v>3241</v>
      </c>
      <c r="GZT6" s="2888" t="s">
        <v>3241</v>
      </c>
      <c r="GZU6" s="2888" t="s">
        <v>3241</v>
      </c>
      <c r="GZV6" s="2888" t="s">
        <v>3241</v>
      </c>
      <c r="GZW6" s="2888" t="s">
        <v>3241</v>
      </c>
      <c r="GZX6" s="2888" t="s">
        <v>3241</v>
      </c>
      <c r="GZY6" s="2888" t="s">
        <v>3241</v>
      </c>
      <c r="GZZ6" s="2888" t="s">
        <v>3241</v>
      </c>
      <c r="HAA6" s="2888" t="s">
        <v>3241</v>
      </c>
      <c r="HAB6" s="2888" t="s">
        <v>3241</v>
      </c>
      <c r="HAC6" s="2888" t="s">
        <v>3241</v>
      </c>
      <c r="HAD6" s="2888" t="s">
        <v>3241</v>
      </c>
      <c r="HAE6" s="2888" t="s">
        <v>3241</v>
      </c>
      <c r="HAF6" s="2888" t="s">
        <v>3241</v>
      </c>
      <c r="HAG6" s="2888" t="s">
        <v>3241</v>
      </c>
      <c r="HAH6" s="2888" t="s">
        <v>3241</v>
      </c>
      <c r="HAI6" s="2888" t="s">
        <v>3241</v>
      </c>
      <c r="HAJ6" s="2888" t="s">
        <v>3241</v>
      </c>
      <c r="HAK6" s="2888" t="s">
        <v>3241</v>
      </c>
      <c r="HAL6" s="2888" t="s">
        <v>3241</v>
      </c>
      <c r="HAM6" s="2888" t="s">
        <v>3241</v>
      </c>
      <c r="HAN6" s="2888" t="s">
        <v>3241</v>
      </c>
      <c r="HAO6" s="2888" t="s">
        <v>3241</v>
      </c>
      <c r="HAP6" s="2888" t="s">
        <v>3241</v>
      </c>
      <c r="HAQ6" s="2888" t="s">
        <v>3241</v>
      </c>
      <c r="HAR6" s="2888" t="s">
        <v>3241</v>
      </c>
      <c r="HAS6" s="2888" t="s">
        <v>3241</v>
      </c>
      <c r="HAT6" s="2888" t="s">
        <v>3241</v>
      </c>
      <c r="HAU6" s="2888" t="s">
        <v>3241</v>
      </c>
      <c r="HAV6" s="2888" t="s">
        <v>3241</v>
      </c>
      <c r="HAW6" s="2888" t="s">
        <v>3241</v>
      </c>
      <c r="HAX6" s="2888" t="s">
        <v>3241</v>
      </c>
      <c r="HAY6" s="2888" t="s">
        <v>3241</v>
      </c>
      <c r="HAZ6" s="2888" t="s">
        <v>3241</v>
      </c>
      <c r="HBA6" s="2888" t="s">
        <v>3241</v>
      </c>
      <c r="HBB6" s="2888" t="s">
        <v>3241</v>
      </c>
      <c r="HBC6" s="2888" t="s">
        <v>3241</v>
      </c>
      <c r="HBD6" s="2888" t="s">
        <v>3241</v>
      </c>
      <c r="HBE6" s="2888" t="s">
        <v>3241</v>
      </c>
      <c r="HBF6" s="2888" t="s">
        <v>3241</v>
      </c>
      <c r="HBG6" s="2888" t="s">
        <v>3241</v>
      </c>
      <c r="HBH6" s="2888" t="s">
        <v>3241</v>
      </c>
      <c r="HBI6" s="2888" t="s">
        <v>3241</v>
      </c>
      <c r="HBJ6" s="2888" t="s">
        <v>3241</v>
      </c>
      <c r="HBK6" s="2888" t="s">
        <v>3241</v>
      </c>
      <c r="HBL6" s="2888" t="s">
        <v>3241</v>
      </c>
      <c r="HBM6" s="2888" t="s">
        <v>3241</v>
      </c>
      <c r="HBN6" s="2888" t="s">
        <v>3241</v>
      </c>
      <c r="HBO6" s="2888" t="s">
        <v>3241</v>
      </c>
      <c r="HBP6" s="2888" t="s">
        <v>3241</v>
      </c>
      <c r="HBQ6" s="2888" t="s">
        <v>3241</v>
      </c>
      <c r="HBR6" s="2888" t="s">
        <v>3241</v>
      </c>
      <c r="HBS6" s="2888" t="s">
        <v>3241</v>
      </c>
      <c r="HBT6" s="2888" t="s">
        <v>3241</v>
      </c>
      <c r="HBU6" s="2888" t="s">
        <v>3241</v>
      </c>
      <c r="HBV6" s="2888" t="s">
        <v>3241</v>
      </c>
      <c r="HBW6" s="2888" t="s">
        <v>3241</v>
      </c>
      <c r="HBX6" s="2888" t="s">
        <v>3241</v>
      </c>
      <c r="HBY6" s="2888" t="s">
        <v>3241</v>
      </c>
      <c r="HBZ6" s="2888" t="s">
        <v>3241</v>
      </c>
      <c r="HCA6" s="2888" t="s">
        <v>3241</v>
      </c>
      <c r="HCB6" s="2888" t="s">
        <v>3241</v>
      </c>
      <c r="HCC6" s="2888" t="s">
        <v>3241</v>
      </c>
      <c r="HCD6" s="2888" t="s">
        <v>3241</v>
      </c>
      <c r="HCE6" s="2888" t="s">
        <v>3241</v>
      </c>
      <c r="HCF6" s="2888" t="s">
        <v>3241</v>
      </c>
      <c r="HCG6" s="2888" t="s">
        <v>3241</v>
      </c>
      <c r="HCH6" s="2888" t="s">
        <v>3241</v>
      </c>
      <c r="HCI6" s="2888" t="s">
        <v>3241</v>
      </c>
      <c r="HCJ6" s="2888" t="s">
        <v>3241</v>
      </c>
      <c r="HCK6" s="2888" t="s">
        <v>3241</v>
      </c>
      <c r="HCL6" s="2888" t="s">
        <v>3241</v>
      </c>
      <c r="HCM6" s="2888" t="s">
        <v>3241</v>
      </c>
      <c r="HCN6" s="2888" t="s">
        <v>3241</v>
      </c>
      <c r="HCO6" s="2888" t="s">
        <v>3241</v>
      </c>
      <c r="HCP6" s="2888" t="s">
        <v>3241</v>
      </c>
      <c r="HCQ6" s="2888" t="s">
        <v>3241</v>
      </c>
      <c r="HCR6" s="2888" t="s">
        <v>3241</v>
      </c>
      <c r="HCS6" s="2888" t="s">
        <v>3241</v>
      </c>
      <c r="HCT6" s="2888" t="s">
        <v>3241</v>
      </c>
      <c r="HCU6" s="2888" t="s">
        <v>3241</v>
      </c>
      <c r="HCV6" s="2888" t="s">
        <v>3241</v>
      </c>
      <c r="HCW6" s="2888" t="s">
        <v>3241</v>
      </c>
      <c r="HCX6" s="2888" t="s">
        <v>3241</v>
      </c>
      <c r="HCY6" s="2888" t="s">
        <v>3241</v>
      </c>
      <c r="HCZ6" s="2888" t="s">
        <v>3241</v>
      </c>
      <c r="HDA6" s="2888" t="s">
        <v>3241</v>
      </c>
      <c r="HDB6" s="2888" t="s">
        <v>3241</v>
      </c>
      <c r="HDC6" s="2888" t="s">
        <v>3241</v>
      </c>
      <c r="HDD6" s="2888" t="s">
        <v>3241</v>
      </c>
      <c r="HDE6" s="2888" t="s">
        <v>3241</v>
      </c>
      <c r="HDF6" s="2888" t="s">
        <v>3241</v>
      </c>
      <c r="HDG6" s="2888" t="s">
        <v>3241</v>
      </c>
      <c r="HDH6" s="2888" t="s">
        <v>3241</v>
      </c>
      <c r="HDI6" s="2888" t="s">
        <v>3241</v>
      </c>
      <c r="HDJ6" s="2888" t="s">
        <v>3241</v>
      </c>
      <c r="HDK6" s="2888" t="s">
        <v>3241</v>
      </c>
      <c r="HDL6" s="2888" t="s">
        <v>3241</v>
      </c>
      <c r="HDM6" s="2888" t="s">
        <v>3241</v>
      </c>
      <c r="HDN6" s="2888" t="s">
        <v>3241</v>
      </c>
      <c r="HDO6" s="2888" t="s">
        <v>3241</v>
      </c>
      <c r="HDP6" s="2888" t="s">
        <v>3241</v>
      </c>
      <c r="HDQ6" s="2888" t="s">
        <v>3241</v>
      </c>
      <c r="HDR6" s="2888" t="s">
        <v>3241</v>
      </c>
      <c r="HDS6" s="2888" t="s">
        <v>3241</v>
      </c>
      <c r="HDT6" s="2888" t="s">
        <v>3241</v>
      </c>
      <c r="HDU6" s="2888" t="s">
        <v>3241</v>
      </c>
      <c r="HDV6" s="2888" t="s">
        <v>3241</v>
      </c>
      <c r="HDW6" s="2888" t="s">
        <v>3241</v>
      </c>
      <c r="HDX6" s="2888" t="s">
        <v>3241</v>
      </c>
      <c r="HDY6" s="2888" t="s">
        <v>3241</v>
      </c>
      <c r="HDZ6" s="2888" t="s">
        <v>3241</v>
      </c>
      <c r="HEA6" s="2888" t="s">
        <v>3241</v>
      </c>
      <c r="HEB6" s="2888" t="s">
        <v>3241</v>
      </c>
      <c r="HEC6" s="2888" t="s">
        <v>3241</v>
      </c>
      <c r="HED6" s="2888" t="s">
        <v>3241</v>
      </c>
      <c r="HEE6" s="2888" t="s">
        <v>3241</v>
      </c>
      <c r="HEF6" s="2888" t="s">
        <v>3241</v>
      </c>
      <c r="HEG6" s="2888" t="s">
        <v>3241</v>
      </c>
      <c r="HEH6" s="2888" t="s">
        <v>3241</v>
      </c>
      <c r="HEI6" s="2888" t="s">
        <v>3241</v>
      </c>
      <c r="HEJ6" s="2888" t="s">
        <v>3241</v>
      </c>
      <c r="HEK6" s="2888" t="s">
        <v>3241</v>
      </c>
      <c r="HEL6" s="2888" t="s">
        <v>3241</v>
      </c>
      <c r="HEM6" s="2888" t="s">
        <v>3241</v>
      </c>
      <c r="HEN6" s="2888" t="s">
        <v>3241</v>
      </c>
      <c r="HEO6" s="2888" t="s">
        <v>3241</v>
      </c>
      <c r="HEP6" s="2888" t="s">
        <v>3241</v>
      </c>
      <c r="HEQ6" s="2888" t="s">
        <v>3241</v>
      </c>
      <c r="HER6" s="2888" t="s">
        <v>3241</v>
      </c>
      <c r="HES6" s="2888" t="s">
        <v>3241</v>
      </c>
      <c r="HET6" s="2888" t="s">
        <v>3241</v>
      </c>
      <c r="HEU6" s="2888" t="s">
        <v>3241</v>
      </c>
      <c r="HEV6" s="2888" t="s">
        <v>3241</v>
      </c>
      <c r="HEW6" s="2888" t="s">
        <v>3241</v>
      </c>
      <c r="HEX6" s="2888" t="s">
        <v>3241</v>
      </c>
      <c r="HEY6" s="2888" t="s">
        <v>3241</v>
      </c>
      <c r="HEZ6" s="2888" t="s">
        <v>3241</v>
      </c>
      <c r="HFA6" s="2888" t="s">
        <v>3241</v>
      </c>
      <c r="HFB6" s="2888" t="s">
        <v>3241</v>
      </c>
      <c r="HFC6" s="2888" t="s">
        <v>3241</v>
      </c>
      <c r="HFD6" s="2888" t="s">
        <v>3241</v>
      </c>
      <c r="HFE6" s="2888" t="s">
        <v>3241</v>
      </c>
      <c r="HFF6" s="2888" t="s">
        <v>3241</v>
      </c>
      <c r="HFG6" s="2888" t="s">
        <v>3241</v>
      </c>
      <c r="HFH6" s="2888" t="s">
        <v>3241</v>
      </c>
      <c r="HFI6" s="2888" t="s">
        <v>3241</v>
      </c>
      <c r="HFJ6" s="2888" t="s">
        <v>3241</v>
      </c>
      <c r="HFK6" s="2888" t="s">
        <v>3241</v>
      </c>
      <c r="HFL6" s="2888" t="s">
        <v>3241</v>
      </c>
      <c r="HFM6" s="2888" t="s">
        <v>3241</v>
      </c>
      <c r="HFN6" s="2888" t="s">
        <v>3241</v>
      </c>
      <c r="HFO6" s="2888" t="s">
        <v>3241</v>
      </c>
      <c r="HFP6" s="2888" t="s">
        <v>3241</v>
      </c>
      <c r="HFQ6" s="2888" t="s">
        <v>3241</v>
      </c>
      <c r="HFR6" s="2888" t="s">
        <v>3241</v>
      </c>
      <c r="HFS6" s="2888" t="s">
        <v>3241</v>
      </c>
      <c r="HFT6" s="2888" t="s">
        <v>3241</v>
      </c>
      <c r="HFU6" s="2888" t="s">
        <v>3241</v>
      </c>
      <c r="HFV6" s="2888" t="s">
        <v>3241</v>
      </c>
      <c r="HFW6" s="2888" t="s">
        <v>3241</v>
      </c>
      <c r="HFX6" s="2888" t="s">
        <v>3241</v>
      </c>
      <c r="HFY6" s="2888" t="s">
        <v>3241</v>
      </c>
      <c r="HFZ6" s="2888" t="s">
        <v>3241</v>
      </c>
      <c r="HGA6" s="2888" t="s">
        <v>3241</v>
      </c>
      <c r="HGB6" s="2888" t="s">
        <v>3241</v>
      </c>
      <c r="HGC6" s="2888" t="s">
        <v>3241</v>
      </c>
      <c r="HGD6" s="2888" t="s">
        <v>3241</v>
      </c>
      <c r="HGE6" s="2888" t="s">
        <v>3241</v>
      </c>
      <c r="HGF6" s="2888" t="s">
        <v>3241</v>
      </c>
      <c r="HGG6" s="2888" t="s">
        <v>3241</v>
      </c>
      <c r="HGH6" s="2888" t="s">
        <v>3241</v>
      </c>
      <c r="HGI6" s="2888" t="s">
        <v>3241</v>
      </c>
      <c r="HGJ6" s="2888" t="s">
        <v>3241</v>
      </c>
      <c r="HGK6" s="2888" t="s">
        <v>3241</v>
      </c>
      <c r="HGL6" s="2888" t="s">
        <v>3241</v>
      </c>
      <c r="HGM6" s="2888" t="s">
        <v>3241</v>
      </c>
      <c r="HGN6" s="2888" t="s">
        <v>3241</v>
      </c>
      <c r="HGO6" s="2888" t="s">
        <v>3241</v>
      </c>
      <c r="HGP6" s="2888" t="s">
        <v>3241</v>
      </c>
      <c r="HGQ6" s="2888" t="s">
        <v>3241</v>
      </c>
      <c r="HGR6" s="2888" t="s">
        <v>3241</v>
      </c>
      <c r="HGS6" s="2888" t="s">
        <v>3241</v>
      </c>
      <c r="HGT6" s="2888" t="s">
        <v>3241</v>
      </c>
      <c r="HGU6" s="2888" t="s">
        <v>3241</v>
      </c>
      <c r="HGV6" s="2888" t="s">
        <v>3241</v>
      </c>
      <c r="HGW6" s="2888" t="s">
        <v>3241</v>
      </c>
      <c r="HGX6" s="2888" t="s">
        <v>3241</v>
      </c>
      <c r="HGY6" s="2888" t="s">
        <v>3241</v>
      </c>
      <c r="HGZ6" s="2888" t="s">
        <v>3241</v>
      </c>
      <c r="HHA6" s="2888" t="s">
        <v>3241</v>
      </c>
      <c r="HHB6" s="2888" t="s">
        <v>3241</v>
      </c>
      <c r="HHC6" s="2888" t="s">
        <v>3241</v>
      </c>
      <c r="HHD6" s="2888" t="s">
        <v>3241</v>
      </c>
      <c r="HHE6" s="2888" t="s">
        <v>3241</v>
      </c>
      <c r="HHF6" s="2888" t="s">
        <v>3241</v>
      </c>
      <c r="HHG6" s="2888" t="s">
        <v>3241</v>
      </c>
      <c r="HHH6" s="2888" t="s">
        <v>3241</v>
      </c>
      <c r="HHI6" s="2888" t="s">
        <v>3241</v>
      </c>
      <c r="HHJ6" s="2888" t="s">
        <v>3241</v>
      </c>
      <c r="HHK6" s="2888" t="s">
        <v>3241</v>
      </c>
      <c r="HHL6" s="2888" t="s">
        <v>3241</v>
      </c>
      <c r="HHM6" s="2888" t="s">
        <v>3241</v>
      </c>
      <c r="HHN6" s="2888" t="s">
        <v>3241</v>
      </c>
      <c r="HHO6" s="2888" t="s">
        <v>3241</v>
      </c>
      <c r="HHP6" s="2888" t="s">
        <v>3241</v>
      </c>
      <c r="HHQ6" s="2888" t="s">
        <v>3241</v>
      </c>
      <c r="HHR6" s="2888" t="s">
        <v>3241</v>
      </c>
      <c r="HHS6" s="2888" t="s">
        <v>3241</v>
      </c>
      <c r="HHT6" s="2888" t="s">
        <v>3241</v>
      </c>
      <c r="HHU6" s="2888" t="s">
        <v>3241</v>
      </c>
      <c r="HHV6" s="2888" t="s">
        <v>3241</v>
      </c>
      <c r="HHW6" s="2888" t="s">
        <v>3241</v>
      </c>
      <c r="HHX6" s="2888" t="s">
        <v>3241</v>
      </c>
      <c r="HHY6" s="2888" t="s">
        <v>3241</v>
      </c>
      <c r="HHZ6" s="2888" t="s">
        <v>3241</v>
      </c>
      <c r="HIA6" s="2888" t="s">
        <v>3241</v>
      </c>
      <c r="HIB6" s="2888" t="s">
        <v>3241</v>
      </c>
      <c r="HIC6" s="2888" t="s">
        <v>3241</v>
      </c>
      <c r="HID6" s="2888" t="s">
        <v>3241</v>
      </c>
      <c r="HIE6" s="2888" t="s">
        <v>3241</v>
      </c>
      <c r="HIF6" s="2888" t="s">
        <v>3241</v>
      </c>
      <c r="HIG6" s="2888" t="s">
        <v>3241</v>
      </c>
      <c r="HIH6" s="2888" t="s">
        <v>3241</v>
      </c>
      <c r="HII6" s="2888" t="s">
        <v>3241</v>
      </c>
      <c r="HIJ6" s="2888" t="s">
        <v>3241</v>
      </c>
      <c r="HIK6" s="2888" t="s">
        <v>3241</v>
      </c>
      <c r="HIL6" s="2888" t="s">
        <v>3241</v>
      </c>
      <c r="HIM6" s="2888" t="s">
        <v>3241</v>
      </c>
      <c r="HIN6" s="2888" t="s">
        <v>3241</v>
      </c>
      <c r="HIO6" s="2888" t="s">
        <v>3241</v>
      </c>
      <c r="HIP6" s="2888" t="s">
        <v>3241</v>
      </c>
      <c r="HIQ6" s="2888" t="s">
        <v>3241</v>
      </c>
      <c r="HIR6" s="2888" t="s">
        <v>3241</v>
      </c>
      <c r="HIS6" s="2888" t="s">
        <v>3241</v>
      </c>
      <c r="HIT6" s="2888" t="s">
        <v>3241</v>
      </c>
      <c r="HIU6" s="2888" t="s">
        <v>3241</v>
      </c>
      <c r="HIV6" s="2888" t="s">
        <v>3241</v>
      </c>
      <c r="HIW6" s="2888" t="s">
        <v>3241</v>
      </c>
      <c r="HIX6" s="2888" t="s">
        <v>3241</v>
      </c>
      <c r="HIY6" s="2888" t="s">
        <v>3241</v>
      </c>
      <c r="HIZ6" s="2888" t="s">
        <v>3241</v>
      </c>
      <c r="HJA6" s="2888" t="s">
        <v>3241</v>
      </c>
      <c r="HJB6" s="2888" t="s">
        <v>3241</v>
      </c>
      <c r="HJC6" s="2888" t="s">
        <v>3241</v>
      </c>
      <c r="HJD6" s="2888" t="s">
        <v>3241</v>
      </c>
      <c r="HJE6" s="2888" t="s">
        <v>3241</v>
      </c>
      <c r="HJF6" s="2888" t="s">
        <v>3241</v>
      </c>
      <c r="HJG6" s="2888" t="s">
        <v>3241</v>
      </c>
      <c r="HJH6" s="2888" t="s">
        <v>3241</v>
      </c>
      <c r="HJI6" s="2888" t="s">
        <v>3241</v>
      </c>
      <c r="HJJ6" s="2888" t="s">
        <v>3241</v>
      </c>
      <c r="HJK6" s="2888" t="s">
        <v>3241</v>
      </c>
      <c r="HJL6" s="2888" t="s">
        <v>3241</v>
      </c>
      <c r="HJM6" s="2888" t="s">
        <v>3241</v>
      </c>
      <c r="HJN6" s="2888" t="s">
        <v>3241</v>
      </c>
      <c r="HJO6" s="2888" t="s">
        <v>3241</v>
      </c>
      <c r="HJP6" s="2888" t="s">
        <v>3241</v>
      </c>
      <c r="HJQ6" s="2888" t="s">
        <v>3241</v>
      </c>
      <c r="HJR6" s="2888" t="s">
        <v>3241</v>
      </c>
      <c r="HJS6" s="2888" t="s">
        <v>3241</v>
      </c>
      <c r="HJT6" s="2888" t="s">
        <v>3241</v>
      </c>
      <c r="HJU6" s="2888" t="s">
        <v>3241</v>
      </c>
      <c r="HJV6" s="2888" t="s">
        <v>3241</v>
      </c>
      <c r="HJW6" s="2888" t="s">
        <v>3241</v>
      </c>
      <c r="HJX6" s="2888" t="s">
        <v>3241</v>
      </c>
      <c r="HJY6" s="2888" t="s">
        <v>3241</v>
      </c>
      <c r="HJZ6" s="2888" t="s">
        <v>3241</v>
      </c>
      <c r="HKA6" s="2888" t="s">
        <v>3241</v>
      </c>
      <c r="HKB6" s="2888" t="s">
        <v>3241</v>
      </c>
      <c r="HKC6" s="2888" t="s">
        <v>3241</v>
      </c>
      <c r="HKD6" s="2888" t="s">
        <v>3241</v>
      </c>
      <c r="HKE6" s="2888" t="s">
        <v>3241</v>
      </c>
      <c r="HKF6" s="2888" t="s">
        <v>3241</v>
      </c>
      <c r="HKG6" s="2888" t="s">
        <v>3241</v>
      </c>
      <c r="HKH6" s="2888" t="s">
        <v>3241</v>
      </c>
      <c r="HKI6" s="2888" t="s">
        <v>3241</v>
      </c>
      <c r="HKJ6" s="2888" t="s">
        <v>3241</v>
      </c>
      <c r="HKK6" s="2888" t="s">
        <v>3241</v>
      </c>
      <c r="HKL6" s="2888" t="s">
        <v>3241</v>
      </c>
      <c r="HKM6" s="2888" t="s">
        <v>3241</v>
      </c>
      <c r="HKN6" s="2888" t="s">
        <v>3241</v>
      </c>
      <c r="HKO6" s="2888" t="s">
        <v>3241</v>
      </c>
      <c r="HKP6" s="2888" t="s">
        <v>3241</v>
      </c>
      <c r="HKQ6" s="2888" t="s">
        <v>3241</v>
      </c>
      <c r="HKR6" s="2888" t="s">
        <v>3241</v>
      </c>
      <c r="HKS6" s="2888" t="s">
        <v>3241</v>
      </c>
      <c r="HKT6" s="2888" t="s">
        <v>3241</v>
      </c>
      <c r="HKU6" s="2888" t="s">
        <v>3241</v>
      </c>
      <c r="HKV6" s="2888" t="s">
        <v>3241</v>
      </c>
      <c r="HKW6" s="2888" t="s">
        <v>3241</v>
      </c>
      <c r="HKX6" s="2888" t="s">
        <v>3241</v>
      </c>
      <c r="HKY6" s="2888" t="s">
        <v>3241</v>
      </c>
      <c r="HKZ6" s="2888" t="s">
        <v>3241</v>
      </c>
      <c r="HLA6" s="2888" t="s">
        <v>3241</v>
      </c>
      <c r="HLB6" s="2888" t="s">
        <v>3241</v>
      </c>
      <c r="HLC6" s="2888" t="s">
        <v>3241</v>
      </c>
      <c r="HLD6" s="2888" t="s">
        <v>3241</v>
      </c>
      <c r="HLE6" s="2888" t="s">
        <v>3241</v>
      </c>
      <c r="HLF6" s="2888" t="s">
        <v>3241</v>
      </c>
      <c r="HLG6" s="2888" t="s">
        <v>3241</v>
      </c>
      <c r="HLH6" s="2888" t="s">
        <v>3241</v>
      </c>
      <c r="HLI6" s="2888" t="s">
        <v>3241</v>
      </c>
      <c r="HLJ6" s="2888" t="s">
        <v>3241</v>
      </c>
      <c r="HLK6" s="2888" t="s">
        <v>3241</v>
      </c>
      <c r="HLL6" s="2888" t="s">
        <v>3241</v>
      </c>
      <c r="HLM6" s="2888" t="s">
        <v>3241</v>
      </c>
      <c r="HLN6" s="2888" t="s">
        <v>3241</v>
      </c>
      <c r="HLO6" s="2888" t="s">
        <v>3241</v>
      </c>
      <c r="HLP6" s="2888" t="s">
        <v>3241</v>
      </c>
      <c r="HLQ6" s="2888" t="s">
        <v>3241</v>
      </c>
      <c r="HLR6" s="2888" t="s">
        <v>3241</v>
      </c>
      <c r="HLS6" s="2888" t="s">
        <v>3241</v>
      </c>
      <c r="HLT6" s="2888" t="s">
        <v>3241</v>
      </c>
      <c r="HLU6" s="2888" t="s">
        <v>3241</v>
      </c>
      <c r="HLV6" s="2888" t="s">
        <v>3241</v>
      </c>
      <c r="HLW6" s="2888" t="s">
        <v>3241</v>
      </c>
      <c r="HLX6" s="2888" t="s">
        <v>3241</v>
      </c>
      <c r="HLY6" s="2888" t="s">
        <v>3241</v>
      </c>
      <c r="HLZ6" s="2888" t="s">
        <v>3241</v>
      </c>
      <c r="HMA6" s="2888" t="s">
        <v>3241</v>
      </c>
      <c r="HMB6" s="2888" t="s">
        <v>3241</v>
      </c>
      <c r="HMC6" s="2888" t="s">
        <v>3241</v>
      </c>
      <c r="HMD6" s="2888" t="s">
        <v>3241</v>
      </c>
      <c r="HME6" s="2888" t="s">
        <v>3241</v>
      </c>
      <c r="HMF6" s="2888" t="s">
        <v>3241</v>
      </c>
      <c r="HMG6" s="2888" t="s">
        <v>3241</v>
      </c>
      <c r="HMH6" s="2888" t="s">
        <v>3241</v>
      </c>
      <c r="HMI6" s="2888" t="s">
        <v>3241</v>
      </c>
      <c r="HMJ6" s="2888" t="s">
        <v>3241</v>
      </c>
      <c r="HMK6" s="2888" t="s">
        <v>3241</v>
      </c>
      <c r="HML6" s="2888" t="s">
        <v>3241</v>
      </c>
      <c r="HMM6" s="2888" t="s">
        <v>3241</v>
      </c>
      <c r="HMN6" s="2888" t="s">
        <v>3241</v>
      </c>
      <c r="HMO6" s="2888" t="s">
        <v>3241</v>
      </c>
      <c r="HMP6" s="2888" t="s">
        <v>3241</v>
      </c>
      <c r="HMQ6" s="2888" t="s">
        <v>3241</v>
      </c>
      <c r="HMR6" s="2888" t="s">
        <v>3241</v>
      </c>
      <c r="HMS6" s="2888" t="s">
        <v>3241</v>
      </c>
      <c r="HMT6" s="2888" t="s">
        <v>3241</v>
      </c>
      <c r="HMU6" s="2888" t="s">
        <v>3241</v>
      </c>
      <c r="HMV6" s="2888" t="s">
        <v>3241</v>
      </c>
      <c r="HMW6" s="2888" t="s">
        <v>3241</v>
      </c>
      <c r="HMX6" s="2888" t="s">
        <v>3241</v>
      </c>
      <c r="HMY6" s="2888" t="s">
        <v>3241</v>
      </c>
      <c r="HMZ6" s="2888" t="s">
        <v>3241</v>
      </c>
      <c r="HNA6" s="2888" t="s">
        <v>3241</v>
      </c>
      <c r="HNB6" s="2888" t="s">
        <v>3241</v>
      </c>
      <c r="HNC6" s="2888" t="s">
        <v>3241</v>
      </c>
      <c r="HND6" s="2888" t="s">
        <v>3241</v>
      </c>
      <c r="HNE6" s="2888" t="s">
        <v>3241</v>
      </c>
      <c r="HNF6" s="2888" t="s">
        <v>3241</v>
      </c>
      <c r="HNG6" s="2888" t="s">
        <v>3241</v>
      </c>
      <c r="HNH6" s="2888" t="s">
        <v>3241</v>
      </c>
      <c r="HNI6" s="2888" t="s">
        <v>3241</v>
      </c>
      <c r="HNJ6" s="2888" t="s">
        <v>3241</v>
      </c>
      <c r="HNK6" s="2888" t="s">
        <v>3241</v>
      </c>
      <c r="HNL6" s="2888" t="s">
        <v>3241</v>
      </c>
      <c r="HNM6" s="2888" t="s">
        <v>3241</v>
      </c>
      <c r="HNN6" s="2888" t="s">
        <v>3241</v>
      </c>
      <c r="HNO6" s="2888" t="s">
        <v>3241</v>
      </c>
      <c r="HNP6" s="2888" t="s">
        <v>3241</v>
      </c>
      <c r="HNQ6" s="2888" t="s">
        <v>3241</v>
      </c>
      <c r="HNR6" s="2888" t="s">
        <v>3241</v>
      </c>
      <c r="HNS6" s="2888" t="s">
        <v>3241</v>
      </c>
      <c r="HNT6" s="2888" t="s">
        <v>3241</v>
      </c>
      <c r="HNU6" s="2888" t="s">
        <v>3241</v>
      </c>
      <c r="HNV6" s="2888" t="s">
        <v>3241</v>
      </c>
      <c r="HNW6" s="2888" t="s">
        <v>3241</v>
      </c>
      <c r="HNX6" s="2888" t="s">
        <v>3241</v>
      </c>
      <c r="HNY6" s="2888" t="s">
        <v>3241</v>
      </c>
      <c r="HNZ6" s="2888" t="s">
        <v>3241</v>
      </c>
      <c r="HOA6" s="2888" t="s">
        <v>3241</v>
      </c>
      <c r="HOB6" s="2888" t="s">
        <v>3241</v>
      </c>
      <c r="HOC6" s="2888" t="s">
        <v>3241</v>
      </c>
      <c r="HOD6" s="2888" t="s">
        <v>3241</v>
      </c>
      <c r="HOE6" s="2888" t="s">
        <v>3241</v>
      </c>
      <c r="HOF6" s="2888" t="s">
        <v>3241</v>
      </c>
      <c r="HOG6" s="2888" t="s">
        <v>3241</v>
      </c>
      <c r="HOH6" s="2888" t="s">
        <v>3241</v>
      </c>
      <c r="HOI6" s="2888" t="s">
        <v>3241</v>
      </c>
      <c r="HOJ6" s="2888" t="s">
        <v>3241</v>
      </c>
      <c r="HOK6" s="2888" t="s">
        <v>3241</v>
      </c>
      <c r="HOL6" s="2888" t="s">
        <v>3241</v>
      </c>
      <c r="HOM6" s="2888" t="s">
        <v>3241</v>
      </c>
      <c r="HON6" s="2888" t="s">
        <v>3241</v>
      </c>
      <c r="HOO6" s="2888" t="s">
        <v>3241</v>
      </c>
      <c r="HOP6" s="2888" t="s">
        <v>3241</v>
      </c>
      <c r="HOQ6" s="2888" t="s">
        <v>3241</v>
      </c>
      <c r="HOR6" s="2888" t="s">
        <v>3241</v>
      </c>
      <c r="HOS6" s="2888" t="s">
        <v>3241</v>
      </c>
      <c r="HOT6" s="2888" t="s">
        <v>3241</v>
      </c>
      <c r="HOU6" s="2888" t="s">
        <v>3241</v>
      </c>
      <c r="HOV6" s="2888" t="s">
        <v>3241</v>
      </c>
      <c r="HOW6" s="2888" t="s">
        <v>3241</v>
      </c>
      <c r="HOX6" s="2888" t="s">
        <v>3241</v>
      </c>
      <c r="HOY6" s="2888" t="s">
        <v>3241</v>
      </c>
      <c r="HOZ6" s="2888" t="s">
        <v>3241</v>
      </c>
      <c r="HPA6" s="2888" t="s">
        <v>3241</v>
      </c>
      <c r="HPB6" s="2888" t="s">
        <v>3241</v>
      </c>
      <c r="HPC6" s="2888" t="s">
        <v>3241</v>
      </c>
      <c r="HPD6" s="2888" t="s">
        <v>3241</v>
      </c>
      <c r="HPE6" s="2888" t="s">
        <v>3241</v>
      </c>
      <c r="HPF6" s="2888" t="s">
        <v>3241</v>
      </c>
      <c r="HPG6" s="2888" t="s">
        <v>3241</v>
      </c>
      <c r="HPH6" s="2888" t="s">
        <v>3241</v>
      </c>
      <c r="HPI6" s="2888" t="s">
        <v>3241</v>
      </c>
      <c r="HPJ6" s="2888" t="s">
        <v>3241</v>
      </c>
      <c r="HPK6" s="2888" t="s">
        <v>3241</v>
      </c>
      <c r="HPL6" s="2888" t="s">
        <v>3241</v>
      </c>
      <c r="HPM6" s="2888" t="s">
        <v>3241</v>
      </c>
      <c r="HPN6" s="2888" t="s">
        <v>3241</v>
      </c>
      <c r="HPO6" s="2888" t="s">
        <v>3241</v>
      </c>
      <c r="HPP6" s="2888" t="s">
        <v>3241</v>
      </c>
      <c r="HPQ6" s="2888" t="s">
        <v>3241</v>
      </c>
      <c r="HPR6" s="2888" t="s">
        <v>3241</v>
      </c>
      <c r="HPS6" s="2888" t="s">
        <v>3241</v>
      </c>
      <c r="HPT6" s="2888" t="s">
        <v>3241</v>
      </c>
      <c r="HPU6" s="2888" t="s">
        <v>3241</v>
      </c>
      <c r="HPV6" s="2888" t="s">
        <v>3241</v>
      </c>
      <c r="HPW6" s="2888" t="s">
        <v>3241</v>
      </c>
      <c r="HPX6" s="2888" t="s">
        <v>3241</v>
      </c>
      <c r="HPY6" s="2888" t="s">
        <v>3241</v>
      </c>
      <c r="HPZ6" s="2888" t="s">
        <v>3241</v>
      </c>
      <c r="HQA6" s="2888" t="s">
        <v>3241</v>
      </c>
      <c r="HQB6" s="2888" t="s">
        <v>3241</v>
      </c>
      <c r="HQC6" s="2888" t="s">
        <v>3241</v>
      </c>
      <c r="HQD6" s="2888" t="s">
        <v>3241</v>
      </c>
      <c r="HQE6" s="2888" t="s">
        <v>3241</v>
      </c>
      <c r="HQF6" s="2888" t="s">
        <v>3241</v>
      </c>
      <c r="HQG6" s="2888" t="s">
        <v>3241</v>
      </c>
      <c r="HQH6" s="2888" t="s">
        <v>3241</v>
      </c>
      <c r="HQI6" s="2888" t="s">
        <v>3241</v>
      </c>
      <c r="HQJ6" s="2888" t="s">
        <v>3241</v>
      </c>
      <c r="HQK6" s="2888" t="s">
        <v>3241</v>
      </c>
      <c r="HQL6" s="2888" t="s">
        <v>3241</v>
      </c>
      <c r="HQM6" s="2888" t="s">
        <v>3241</v>
      </c>
      <c r="HQN6" s="2888" t="s">
        <v>3241</v>
      </c>
      <c r="HQO6" s="2888" t="s">
        <v>3241</v>
      </c>
      <c r="HQP6" s="2888" t="s">
        <v>3241</v>
      </c>
      <c r="HQQ6" s="2888" t="s">
        <v>3241</v>
      </c>
      <c r="HQR6" s="2888" t="s">
        <v>3241</v>
      </c>
      <c r="HQS6" s="2888" t="s">
        <v>3241</v>
      </c>
      <c r="HQT6" s="2888" t="s">
        <v>3241</v>
      </c>
      <c r="HQU6" s="2888" t="s">
        <v>3241</v>
      </c>
      <c r="HQV6" s="2888" t="s">
        <v>3241</v>
      </c>
      <c r="HQW6" s="2888" t="s">
        <v>3241</v>
      </c>
      <c r="HQX6" s="2888" t="s">
        <v>3241</v>
      </c>
      <c r="HQY6" s="2888" t="s">
        <v>3241</v>
      </c>
      <c r="HQZ6" s="2888" t="s">
        <v>3241</v>
      </c>
      <c r="HRA6" s="2888" t="s">
        <v>3241</v>
      </c>
      <c r="HRB6" s="2888" t="s">
        <v>3241</v>
      </c>
      <c r="HRC6" s="2888" t="s">
        <v>3241</v>
      </c>
      <c r="HRD6" s="2888" t="s">
        <v>3241</v>
      </c>
      <c r="HRE6" s="2888" t="s">
        <v>3241</v>
      </c>
      <c r="HRF6" s="2888" t="s">
        <v>3241</v>
      </c>
      <c r="HRG6" s="2888" t="s">
        <v>3241</v>
      </c>
      <c r="HRH6" s="2888" t="s">
        <v>3241</v>
      </c>
      <c r="HRI6" s="2888" t="s">
        <v>3241</v>
      </c>
      <c r="HRJ6" s="2888" t="s">
        <v>3241</v>
      </c>
      <c r="HRK6" s="2888" t="s">
        <v>3241</v>
      </c>
      <c r="HRL6" s="2888" t="s">
        <v>3241</v>
      </c>
      <c r="HRM6" s="2888" t="s">
        <v>3241</v>
      </c>
      <c r="HRN6" s="2888" t="s">
        <v>3241</v>
      </c>
      <c r="HRO6" s="2888" t="s">
        <v>3241</v>
      </c>
      <c r="HRP6" s="2888" t="s">
        <v>3241</v>
      </c>
      <c r="HRQ6" s="2888" t="s">
        <v>3241</v>
      </c>
      <c r="HRR6" s="2888" t="s">
        <v>3241</v>
      </c>
      <c r="HRS6" s="2888" t="s">
        <v>3241</v>
      </c>
      <c r="HRT6" s="2888" t="s">
        <v>3241</v>
      </c>
      <c r="HRU6" s="2888" t="s">
        <v>3241</v>
      </c>
      <c r="HRV6" s="2888" t="s">
        <v>3241</v>
      </c>
      <c r="HRW6" s="2888" t="s">
        <v>3241</v>
      </c>
      <c r="HRX6" s="2888" t="s">
        <v>3241</v>
      </c>
      <c r="HRY6" s="2888" t="s">
        <v>3241</v>
      </c>
      <c r="HRZ6" s="2888" t="s">
        <v>3241</v>
      </c>
      <c r="HSA6" s="2888" t="s">
        <v>3241</v>
      </c>
      <c r="HSB6" s="2888" t="s">
        <v>3241</v>
      </c>
      <c r="HSC6" s="2888" t="s">
        <v>3241</v>
      </c>
      <c r="HSD6" s="2888" t="s">
        <v>3241</v>
      </c>
      <c r="HSE6" s="2888" t="s">
        <v>3241</v>
      </c>
      <c r="HSF6" s="2888" t="s">
        <v>3241</v>
      </c>
      <c r="HSG6" s="2888" t="s">
        <v>3241</v>
      </c>
      <c r="HSH6" s="2888" t="s">
        <v>3241</v>
      </c>
      <c r="HSI6" s="2888" t="s">
        <v>3241</v>
      </c>
      <c r="HSJ6" s="2888" t="s">
        <v>3241</v>
      </c>
      <c r="HSK6" s="2888" t="s">
        <v>3241</v>
      </c>
      <c r="HSL6" s="2888" t="s">
        <v>3241</v>
      </c>
      <c r="HSM6" s="2888" t="s">
        <v>3241</v>
      </c>
      <c r="HSN6" s="2888" t="s">
        <v>3241</v>
      </c>
      <c r="HSO6" s="2888" t="s">
        <v>3241</v>
      </c>
      <c r="HSP6" s="2888" t="s">
        <v>3241</v>
      </c>
      <c r="HSQ6" s="2888" t="s">
        <v>3241</v>
      </c>
      <c r="HSR6" s="2888" t="s">
        <v>3241</v>
      </c>
      <c r="HSS6" s="2888" t="s">
        <v>3241</v>
      </c>
      <c r="HST6" s="2888" t="s">
        <v>3241</v>
      </c>
      <c r="HSU6" s="2888" t="s">
        <v>3241</v>
      </c>
      <c r="HSV6" s="2888" t="s">
        <v>3241</v>
      </c>
      <c r="HSW6" s="2888" t="s">
        <v>3241</v>
      </c>
      <c r="HSX6" s="2888" t="s">
        <v>3241</v>
      </c>
      <c r="HSY6" s="2888" t="s">
        <v>3241</v>
      </c>
      <c r="HSZ6" s="2888" t="s">
        <v>3241</v>
      </c>
      <c r="HTA6" s="2888" t="s">
        <v>3241</v>
      </c>
      <c r="HTB6" s="2888" t="s">
        <v>3241</v>
      </c>
      <c r="HTC6" s="2888" t="s">
        <v>3241</v>
      </c>
      <c r="HTD6" s="2888" t="s">
        <v>3241</v>
      </c>
      <c r="HTE6" s="2888" t="s">
        <v>3241</v>
      </c>
      <c r="HTF6" s="2888" t="s">
        <v>3241</v>
      </c>
      <c r="HTG6" s="2888" t="s">
        <v>3241</v>
      </c>
      <c r="HTH6" s="2888" t="s">
        <v>3241</v>
      </c>
      <c r="HTI6" s="2888" t="s">
        <v>3241</v>
      </c>
      <c r="HTJ6" s="2888" t="s">
        <v>3241</v>
      </c>
      <c r="HTK6" s="2888" t="s">
        <v>3241</v>
      </c>
      <c r="HTL6" s="2888" t="s">
        <v>3241</v>
      </c>
      <c r="HTM6" s="2888" t="s">
        <v>3241</v>
      </c>
      <c r="HTN6" s="2888" t="s">
        <v>3241</v>
      </c>
      <c r="HTO6" s="2888" t="s">
        <v>3241</v>
      </c>
      <c r="HTP6" s="2888" t="s">
        <v>3241</v>
      </c>
      <c r="HTQ6" s="2888" t="s">
        <v>3241</v>
      </c>
      <c r="HTR6" s="2888" t="s">
        <v>3241</v>
      </c>
      <c r="HTS6" s="2888" t="s">
        <v>3241</v>
      </c>
      <c r="HTT6" s="2888" t="s">
        <v>3241</v>
      </c>
      <c r="HTU6" s="2888" t="s">
        <v>3241</v>
      </c>
      <c r="HTV6" s="2888" t="s">
        <v>3241</v>
      </c>
      <c r="HTW6" s="2888" t="s">
        <v>3241</v>
      </c>
      <c r="HTX6" s="2888" t="s">
        <v>3241</v>
      </c>
      <c r="HTY6" s="2888" t="s">
        <v>3241</v>
      </c>
      <c r="HTZ6" s="2888" t="s">
        <v>3241</v>
      </c>
      <c r="HUA6" s="2888" t="s">
        <v>3241</v>
      </c>
      <c r="HUB6" s="2888" t="s">
        <v>3241</v>
      </c>
      <c r="HUC6" s="2888" t="s">
        <v>3241</v>
      </c>
      <c r="HUD6" s="2888" t="s">
        <v>3241</v>
      </c>
      <c r="HUE6" s="2888" t="s">
        <v>3241</v>
      </c>
      <c r="HUF6" s="2888" t="s">
        <v>3241</v>
      </c>
      <c r="HUG6" s="2888" t="s">
        <v>3241</v>
      </c>
      <c r="HUH6" s="2888" t="s">
        <v>3241</v>
      </c>
      <c r="HUI6" s="2888" t="s">
        <v>3241</v>
      </c>
      <c r="HUJ6" s="2888" t="s">
        <v>3241</v>
      </c>
      <c r="HUK6" s="2888" t="s">
        <v>3241</v>
      </c>
      <c r="HUL6" s="2888" t="s">
        <v>3241</v>
      </c>
      <c r="HUM6" s="2888" t="s">
        <v>3241</v>
      </c>
      <c r="HUN6" s="2888" t="s">
        <v>3241</v>
      </c>
      <c r="HUO6" s="2888" t="s">
        <v>3241</v>
      </c>
      <c r="HUP6" s="2888" t="s">
        <v>3241</v>
      </c>
      <c r="HUQ6" s="2888" t="s">
        <v>3241</v>
      </c>
      <c r="HUR6" s="2888" t="s">
        <v>3241</v>
      </c>
      <c r="HUS6" s="2888" t="s">
        <v>3241</v>
      </c>
      <c r="HUT6" s="2888" t="s">
        <v>3241</v>
      </c>
      <c r="HUU6" s="2888" t="s">
        <v>3241</v>
      </c>
      <c r="HUV6" s="2888" t="s">
        <v>3241</v>
      </c>
      <c r="HUW6" s="2888" t="s">
        <v>3241</v>
      </c>
      <c r="HUX6" s="2888" t="s">
        <v>3241</v>
      </c>
      <c r="HUY6" s="2888" t="s">
        <v>3241</v>
      </c>
      <c r="HUZ6" s="2888" t="s">
        <v>3241</v>
      </c>
      <c r="HVA6" s="2888" t="s">
        <v>3241</v>
      </c>
      <c r="HVB6" s="2888" t="s">
        <v>3241</v>
      </c>
      <c r="HVC6" s="2888" t="s">
        <v>3241</v>
      </c>
      <c r="HVD6" s="2888" t="s">
        <v>3241</v>
      </c>
      <c r="HVE6" s="2888" t="s">
        <v>3241</v>
      </c>
      <c r="HVF6" s="2888" t="s">
        <v>3241</v>
      </c>
      <c r="HVG6" s="2888" t="s">
        <v>3241</v>
      </c>
      <c r="HVH6" s="2888" t="s">
        <v>3241</v>
      </c>
      <c r="HVI6" s="2888" t="s">
        <v>3241</v>
      </c>
      <c r="HVJ6" s="2888" t="s">
        <v>3241</v>
      </c>
      <c r="HVK6" s="2888" t="s">
        <v>3241</v>
      </c>
      <c r="HVL6" s="2888" t="s">
        <v>3241</v>
      </c>
      <c r="HVM6" s="2888" t="s">
        <v>3241</v>
      </c>
      <c r="HVN6" s="2888" t="s">
        <v>3241</v>
      </c>
      <c r="HVO6" s="2888" t="s">
        <v>3241</v>
      </c>
      <c r="HVP6" s="2888" t="s">
        <v>3241</v>
      </c>
      <c r="HVQ6" s="2888" t="s">
        <v>3241</v>
      </c>
      <c r="HVR6" s="2888" t="s">
        <v>3241</v>
      </c>
      <c r="HVS6" s="2888" t="s">
        <v>3241</v>
      </c>
      <c r="HVT6" s="2888" t="s">
        <v>3241</v>
      </c>
      <c r="HVU6" s="2888" t="s">
        <v>3241</v>
      </c>
      <c r="HVV6" s="2888" t="s">
        <v>3241</v>
      </c>
      <c r="HVW6" s="2888" t="s">
        <v>3241</v>
      </c>
      <c r="HVX6" s="2888" t="s">
        <v>3241</v>
      </c>
      <c r="HVY6" s="2888" t="s">
        <v>3241</v>
      </c>
      <c r="HVZ6" s="2888" t="s">
        <v>3241</v>
      </c>
      <c r="HWA6" s="2888" t="s">
        <v>3241</v>
      </c>
      <c r="HWB6" s="2888" t="s">
        <v>3241</v>
      </c>
      <c r="HWC6" s="2888" t="s">
        <v>3241</v>
      </c>
      <c r="HWD6" s="2888" t="s">
        <v>3241</v>
      </c>
      <c r="HWE6" s="2888" t="s">
        <v>3241</v>
      </c>
      <c r="HWF6" s="2888" t="s">
        <v>3241</v>
      </c>
      <c r="HWG6" s="2888" t="s">
        <v>3241</v>
      </c>
      <c r="HWH6" s="2888" t="s">
        <v>3241</v>
      </c>
      <c r="HWI6" s="2888" t="s">
        <v>3241</v>
      </c>
      <c r="HWJ6" s="2888" t="s">
        <v>3241</v>
      </c>
      <c r="HWK6" s="2888" t="s">
        <v>3241</v>
      </c>
      <c r="HWL6" s="2888" t="s">
        <v>3241</v>
      </c>
      <c r="HWM6" s="2888" t="s">
        <v>3241</v>
      </c>
      <c r="HWN6" s="2888" t="s">
        <v>3241</v>
      </c>
      <c r="HWO6" s="2888" t="s">
        <v>3241</v>
      </c>
      <c r="HWP6" s="2888" t="s">
        <v>3241</v>
      </c>
      <c r="HWQ6" s="2888" t="s">
        <v>3241</v>
      </c>
      <c r="HWR6" s="2888" t="s">
        <v>3241</v>
      </c>
      <c r="HWS6" s="2888" t="s">
        <v>3241</v>
      </c>
      <c r="HWT6" s="2888" t="s">
        <v>3241</v>
      </c>
      <c r="HWU6" s="2888" t="s">
        <v>3241</v>
      </c>
      <c r="HWV6" s="2888" t="s">
        <v>3241</v>
      </c>
      <c r="HWW6" s="2888" t="s">
        <v>3241</v>
      </c>
      <c r="HWX6" s="2888" t="s">
        <v>3241</v>
      </c>
      <c r="HWY6" s="2888" t="s">
        <v>3241</v>
      </c>
      <c r="HWZ6" s="2888" t="s">
        <v>3241</v>
      </c>
      <c r="HXA6" s="2888" t="s">
        <v>3241</v>
      </c>
      <c r="HXB6" s="2888" t="s">
        <v>3241</v>
      </c>
      <c r="HXC6" s="2888" t="s">
        <v>3241</v>
      </c>
      <c r="HXD6" s="2888" t="s">
        <v>3241</v>
      </c>
      <c r="HXE6" s="2888" t="s">
        <v>3241</v>
      </c>
      <c r="HXF6" s="2888" t="s">
        <v>3241</v>
      </c>
      <c r="HXG6" s="2888" t="s">
        <v>3241</v>
      </c>
      <c r="HXH6" s="2888" t="s">
        <v>3241</v>
      </c>
      <c r="HXI6" s="2888" t="s">
        <v>3241</v>
      </c>
      <c r="HXJ6" s="2888" t="s">
        <v>3241</v>
      </c>
      <c r="HXK6" s="2888" t="s">
        <v>3241</v>
      </c>
      <c r="HXL6" s="2888" t="s">
        <v>3241</v>
      </c>
      <c r="HXM6" s="2888" t="s">
        <v>3241</v>
      </c>
      <c r="HXN6" s="2888" t="s">
        <v>3241</v>
      </c>
      <c r="HXO6" s="2888" t="s">
        <v>3241</v>
      </c>
      <c r="HXP6" s="2888" t="s">
        <v>3241</v>
      </c>
      <c r="HXQ6" s="2888" t="s">
        <v>3241</v>
      </c>
      <c r="HXR6" s="2888" t="s">
        <v>3241</v>
      </c>
      <c r="HXS6" s="2888" t="s">
        <v>3241</v>
      </c>
      <c r="HXT6" s="2888" t="s">
        <v>3241</v>
      </c>
      <c r="HXU6" s="2888" t="s">
        <v>3241</v>
      </c>
      <c r="HXV6" s="2888" t="s">
        <v>3241</v>
      </c>
      <c r="HXW6" s="2888" t="s">
        <v>3241</v>
      </c>
      <c r="HXX6" s="2888" t="s">
        <v>3241</v>
      </c>
      <c r="HXY6" s="2888" t="s">
        <v>3241</v>
      </c>
      <c r="HXZ6" s="2888" t="s">
        <v>3241</v>
      </c>
      <c r="HYA6" s="2888" t="s">
        <v>3241</v>
      </c>
      <c r="HYB6" s="2888" t="s">
        <v>3241</v>
      </c>
      <c r="HYC6" s="2888" t="s">
        <v>3241</v>
      </c>
      <c r="HYD6" s="2888" t="s">
        <v>3241</v>
      </c>
      <c r="HYE6" s="2888" t="s">
        <v>3241</v>
      </c>
      <c r="HYF6" s="2888" t="s">
        <v>3241</v>
      </c>
      <c r="HYG6" s="2888" t="s">
        <v>3241</v>
      </c>
      <c r="HYH6" s="2888" t="s">
        <v>3241</v>
      </c>
      <c r="HYI6" s="2888" t="s">
        <v>3241</v>
      </c>
      <c r="HYJ6" s="2888" t="s">
        <v>3241</v>
      </c>
      <c r="HYK6" s="2888" t="s">
        <v>3241</v>
      </c>
      <c r="HYL6" s="2888" t="s">
        <v>3241</v>
      </c>
      <c r="HYM6" s="2888" t="s">
        <v>3241</v>
      </c>
      <c r="HYN6" s="2888" t="s">
        <v>3241</v>
      </c>
      <c r="HYO6" s="2888" t="s">
        <v>3241</v>
      </c>
      <c r="HYP6" s="2888" t="s">
        <v>3241</v>
      </c>
      <c r="HYQ6" s="2888" t="s">
        <v>3241</v>
      </c>
      <c r="HYR6" s="2888" t="s">
        <v>3241</v>
      </c>
      <c r="HYS6" s="2888" t="s">
        <v>3241</v>
      </c>
      <c r="HYT6" s="2888" t="s">
        <v>3241</v>
      </c>
      <c r="HYU6" s="2888" t="s">
        <v>3241</v>
      </c>
      <c r="HYV6" s="2888" t="s">
        <v>3241</v>
      </c>
      <c r="HYW6" s="2888" t="s">
        <v>3241</v>
      </c>
      <c r="HYX6" s="2888" t="s">
        <v>3241</v>
      </c>
      <c r="HYY6" s="2888" t="s">
        <v>3241</v>
      </c>
      <c r="HYZ6" s="2888" t="s">
        <v>3241</v>
      </c>
      <c r="HZA6" s="2888" t="s">
        <v>3241</v>
      </c>
      <c r="HZB6" s="2888" t="s">
        <v>3241</v>
      </c>
      <c r="HZC6" s="2888" t="s">
        <v>3241</v>
      </c>
      <c r="HZD6" s="2888" t="s">
        <v>3241</v>
      </c>
      <c r="HZE6" s="2888" t="s">
        <v>3241</v>
      </c>
      <c r="HZF6" s="2888" t="s">
        <v>3241</v>
      </c>
      <c r="HZG6" s="2888" t="s">
        <v>3241</v>
      </c>
      <c r="HZH6" s="2888" t="s">
        <v>3241</v>
      </c>
      <c r="HZI6" s="2888" t="s">
        <v>3241</v>
      </c>
      <c r="HZJ6" s="2888" t="s">
        <v>3241</v>
      </c>
      <c r="HZK6" s="2888" t="s">
        <v>3241</v>
      </c>
      <c r="HZL6" s="2888" t="s">
        <v>3241</v>
      </c>
      <c r="HZM6" s="2888" t="s">
        <v>3241</v>
      </c>
      <c r="HZN6" s="2888" t="s">
        <v>3241</v>
      </c>
      <c r="HZO6" s="2888" t="s">
        <v>3241</v>
      </c>
      <c r="HZP6" s="2888" t="s">
        <v>3241</v>
      </c>
      <c r="HZQ6" s="2888" t="s">
        <v>3241</v>
      </c>
      <c r="HZR6" s="2888" t="s">
        <v>3241</v>
      </c>
      <c r="HZS6" s="2888" t="s">
        <v>3241</v>
      </c>
      <c r="HZT6" s="2888" t="s">
        <v>3241</v>
      </c>
      <c r="HZU6" s="2888" t="s">
        <v>3241</v>
      </c>
      <c r="HZV6" s="2888" t="s">
        <v>3241</v>
      </c>
      <c r="HZW6" s="2888" t="s">
        <v>3241</v>
      </c>
      <c r="HZX6" s="2888" t="s">
        <v>3241</v>
      </c>
      <c r="HZY6" s="2888" t="s">
        <v>3241</v>
      </c>
      <c r="HZZ6" s="2888" t="s">
        <v>3241</v>
      </c>
      <c r="IAA6" s="2888" t="s">
        <v>3241</v>
      </c>
      <c r="IAB6" s="2888" t="s">
        <v>3241</v>
      </c>
      <c r="IAC6" s="2888" t="s">
        <v>3241</v>
      </c>
      <c r="IAD6" s="2888" t="s">
        <v>3241</v>
      </c>
      <c r="IAE6" s="2888" t="s">
        <v>3241</v>
      </c>
      <c r="IAF6" s="2888" t="s">
        <v>3241</v>
      </c>
      <c r="IAG6" s="2888" t="s">
        <v>3241</v>
      </c>
      <c r="IAH6" s="2888" t="s">
        <v>3241</v>
      </c>
      <c r="IAI6" s="2888" t="s">
        <v>3241</v>
      </c>
      <c r="IAJ6" s="2888" t="s">
        <v>3241</v>
      </c>
      <c r="IAK6" s="2888" t="s">
        <v>3241</v>
      </c>
      <c r="IAL6" s="2888" t="s">
        <v>3241</v>
      </c>
      <c r="IAM6" s="2888" t="s">
        <v>3241</v>
      </c>
      <c r="IAN6" s="2888" t="s">
        <v>3241</v>
      </c>
      <c r="IAO6" s="2888" t="s">
        <v>3241</v>
      </c>
      <c r="IAP6" s="2888" t="s">
        <v>3241</v>
      </c>
      <c r="IAQ6" s="2888" t="s">
        <v>3241</v>
      </c>
      <c r="IAR6" s="2888" t="s">
        <v>3241</v>
      </c>
      <c r="IAS6" s="2888" t="s">
        <v>3241</v>
      </c>
      <c r="IAT6" s="2888" t="s">
        <v>3241</v>
      </c>
      <c r="IAU6" s="2888" t="s">
        <v>3241</v>
      </c>
      <c r="IAV6" s="2888" t="s">
        <v>3241</v>
      </c>
      <c r="IAW6" s="2888" t="s">
        <v>3241</v>
      </c>
      <c r="IAX6" s="2888" t="s">
        <v>3241</v>
      </c>
      <c r="IAY6" s="2888" t="s">
        <v>3241</v>
      </c>
      <c r="IAZ6" s="2888" t="s">
        <v>3241</v>
      </c>
      <c r="IBA6" s="2888" t="s">
        <v>3241</v>
      </c>
      <c r="IBB6" s="2888" t="s">
        <v>3241</v>
      </c>
      <c r="IBC6" s="2888" t="s">
        <v>3241</v>
      </c>
      <c r="IBD6" s="2888" t="s">
        <v>3241</v>
      </c>
      <c r="IBE6" s="2888" t="s">
        <v>3241</v>
      </c>
      <c r="IBF6" s="2888" t="s">
        <v>3241</v>
      </c>
      <c r="IBG6" s="2888" t="s">
        <v>3241</v>
      </c>
      <c r="IBH6" s="2888" t="s">
        <v>3241</v>
      </c>
      <c r="IBI6" s="2888" t="s">
        <v>3241</v>
      </c>
      <c r="IBJ6" s="2888" t="s">
        <v>3241</v>
      </c>
      <c r="IBK6" s="2888" t="s">
        <v>3241</v>
      </c>
      <c r="IBL6" s="2888" t="s">
        <v>3241</v>
      </c>
      <c r="IBM6" s="2888" t="s">
        <v>3241</v>
      </c>
      <c r="IBN6" s="2888" t="s">
        <v>3241</v>
      </c>
      <c r="IBO6" s="2888" t="s">
        <v>3241</v>
      </c>
      <c r="IBP6" s="2888" t="s">
        <v>3241</v>
      </c>
      <c r="IBQ6" s="2888" t="s">
        <v>3241</v>
      </c>
      <c r="IBR6" s="2888" t="s">
        <v>3241</v>
      </c>
      <c r="IBS6" s="2888" t="s">
        <v>3241</v>
      </c>
      <c r="IBT6" s="2888" t="s">
        <v>3241</v>
      </c>
      <c r="IBU6" s="2888" t="s">
        <v>3241</v>
      </c>
      <c r="IBV6" s="2888" t="s">
        <v>3241</v>
      </c>
      <c r="IBW6" s="2888" t="s">
        <v>3241</v>
      </c>
      <c r="IBX6" s="2888" t="s">
        <v>3241</v>
      </c>
      <c r="IBY6" s="2888" t="s">
        <v>3241</v>
      </c>
      <c r="IBZ6" s="2888" t="s">
        <v>3241</v>
      </c>
      <c r="ICA6" s="2888" t="s">
        <v>3241</v>
      </c>
      <c r="ICB6" s="2888" t="s">
        <v>3241</v>
      </c>
      <c r="ICC6" s="2888" t="s">
        <v>3241</v>
      </c>
      <c r="ICD6" s="2888" t="s">
        <v>3241</v>
      </c>
      <c r="ICE6" s="2888" t="s">
        <v>3241</v>
      </c>
      <c r="ICF6" s="2888" t="s">
        <v>3241</v>
      </c>
      <c r="ICG6" s="2888" t="s">
        <v>3241</v>
      </c>
      <c r="ICH6" s="2888" t="s">
        <v>3241</v>
      </c>
      <c r="ICI6" s="2888" t="s">
        <v>3241</v>
      </c>
      <c r="ICJ6" s="2888" t="s">
        <v>3241</v>
      </c>
      <c r="ICK6" s="2888" t="s">
        <v>3241</v>
      </c>
      <c r="ICL6" s="2888" t="s">
        <v>3241</v>
      </c>
      <c r="ICM6" s="2888" t="s">
        <v>3241</v>
      </c>
      <c r="ICN6" s="2888" t="s">
        <v>3241</v>
      </c>
      <c r="ICO6" s="2888" t="s">
        <v>3241</v>
      </c>
      <c r="ICP6" s="2888" t="s">
        <v>3241</v>
      </c>
      <c r="ICQ6" s="2888" t="s">
        <v>3241</v>
      </c>
      <c r="ICR6" s="2888" t="s">
        <v>3241</v>
      </c>
      <c r="ICS6" s="2888" t="s">
        <v>3241</v>
      </c>
      <c r="ICT6" s="2888" t="s">
        <v>3241</v>
      </c>
      <c r="ICU6" s="2888" t="s">
        <v>3241</v>
      </c>
      <c r="ICV6" s="2888" t="s">
        <v>3241</v>
      </c>
      <c r="ICW6" s="2888" t="s">
        <v>3241</v>
      </c>
      <c r="ICX6" s="2888" t="s">
        <v>3241</v>
      </c>
      <c r="ICY6" s="2888" t="s">
        <v>3241</v>
      </c>
      <c r="ICZ6" s="2888" t="s">
        <v>3241</v>
      </c>
      <c r="IDA6" s="2888" t="s">
        <v>3241</v>
      </c>
      <c r="IDB6" s="2888" t="s">
        <v>3241</v>
      </c>
      <c r="IDC6" s="2888" t="s">
        <v>3241</v>
      </c>
      <c r="IDD6" s="2888" t="s">
        <v>3241</v>
      </c>
      <c r="IDE6" s="2888" t="s">
        <v>3241</v>
      </c>
      <c r="IDF6" s="2888" t="s">
        <v>3241</v>
      </c>
      <c r="IDG6" s="2888" t="s">
        <v>3241</v>
      </c>
      <c r="IDH6" s="2888" t="s">
        <v>3241</v>
      </c>
      <c r="IDI6" s="2888" t="s">
        <v>3241</v>
      </c>
      <c r="IDJ6" s="2888" t="s">
        <v>3241</v>
      </c>
      <c r="IDK6" s="2888" t="s">
        <v>3241</v>
      </c>
      <c r="IDL6" s="2888" t="s">
        <v>3241</v>
      </c>
      <c r="IDM6" s="2888" t="s">
        <v>3241</v>
      </c>
      <c r="IDN6" s="2888" t="s">
        <v>3241</v>
      </c>
      <c r="IDO6" s="2888" t="s">
        <v>3241</v>
      </c>
      <c r="IDP6" s="2888" t="s">
        <v>3241</v>
      </c>
      <c r="IDQ6" s="2888" t="s">
        <v>3241</v>
      </c>
      <c r="IDR6" s="2888" t="s">
        <v>3241</v>
      </c>
      <c r="IDS6" s="2888" t="s">
        <v>3241</v>
      </c>
      <c r="IDT6" s="2888" t="s">
        <v>3241</v>
      </c>
      <c r="IDU6" s="2888" t="s">
        <v>3241</v>
      </c>
      <c r="IDV6" s="2888" t="s">
        <v>3241</v>
      </c>
      <c r="IDW6" s="2888" t="s">
        <v>3241</v>
      </c>
      <c r="IDX6" s="2888" t="s">
        <v>3241</v>
      </c>
      <c r="IDY6" s="2888" t="s">
        <v>3241</v>
      </c>
      <c r="IDZ6" s="2888" t="s">
        <v>3241</v>
      </c>
      <c r="IEA6" s="2888" t="s">
        <v>3241</v>
      </c>
      <c r="IEB6" s="2888" t="s">
        <v>3241</v>
      </c>
      <c r="IEC6" s="2888" t="s">
        <v>3241</v>
      </c>
      <c r="IED6" s="2888" t="s">
        <v>3241</v>
      </c>
      <c r="IEE6" s="2888" t="s">
        <v>3241</v>
      </c>
      <c r="IEF6" s="2888" t="s">
        <v>3241</v>
      </c>
      <c r="IEG6" s="2888" t="s">
        <v>3241</v>
      </c>
      <c r="IEH6" s="2888" t="s">
        <v>3241</v>
      </c>
      <c r="IEI6" s="2888" t="s">
        <v>3241</v>
      </c>
      <c r="IEJ6" s="2888" t="s">
        <v>3241</v>
      </c>
      <c r="IEK6" s="2888" t="s">
        <v>3241</v>
      </c>
      <c r="IEL6" s="2888" t="s">
        <v>3241</v>
      </c>
      <c r="IEM6" s="2888" t="s">
        <v>3241</v>
      </c>
      <c r="IEN6" s="2888" t="s">
        <v>3241</v>
      </c>
      <c r="IEO6" s="2888" t="s">
        <v>3241</v>
      </c>
      <c r="IEP6" s="2888" t="s">
        <v>3241</v>
      </c>
      <c r="IEQ6" s="2888" t="s">
        <v>3241</v>
      </c>
      <c r="IER6" s="2888" t="s">
        <v>3241</v>
      </c>
      <c r="IES6" s="2888" t="s">
        <v>3241</v>
      </c>
      <c r="IET6" s="2888" t="s">
        <v>3241</v>
      </c>
      <c r="IEU6" s="2888" t="s">
        <v>3241</v>
      </c>
      <c r="IEV6" s="2888" t="s">
        <v>3241</v>
      </c>
      <c r="IEW6" s="2888" t="s">
        <v>3241</v>
      </c>
      <c r="IEX6" s="2888" t="s">
        <v>3241</v>
      </c>
      <c r="IEY6" s="2888" t="s">
        <v>3241</v>
      </c>
      <c r="IEZ6" s="2888" t="s">
        <v>3241</v>
      </c>
      <c r="IFA6" s="2888" t="s">
        <v>3241</v>
      </c>
      <c r="IFB6" s="2888" t="s">
        <v>3241</v>
      </c>
      <c r="IFC6" s="2888" t="s">
        <v>3241</v>
      </c>
      <c r="IFD6" s="2888" t="s">
        <v>3241</v>
      </c>
      <c r="IFE6" s="2888" t="s">
        <v>3241</v>
      </c>
      <c r="IFF6" s="2888" t="s">
        <v>3241</v>
      </c>
      <c r="IFG6" s="2888" t="s">
        <v>3241</v>
      </c>
      <c r="IFH6" s="2888" t="s">
        <v>3241</v>
      </c>
      <c r="IFI6" s="2888" t="s">
        <v>3241</v>
      </c>
      <c r="IFJ6" s="2888" t="s">
        <v>3241</v>
      </c>
      <c r="IFK6" s="2888" t="s">
        <v>3241</v>
      </c>
      <c r="IFL6" s="2888" t="s">
        <v>3241</v>
      </c>
      <c r="IFM6" s="2888" t="s">
        <v>3241</v>
      </c>
      <c r="IFN6" s="2888" t="s">
        <v>3241</v>
      </c>
      <c r="IFO6" s="2888" t="s">
        <v>3241</v>
      </c>
      <c r="IFP6" s="2888" t="s">
        <v>3241</v>
      </c>
      <c r="IFQ6" s="2888" t="s">
        <v>3241</v>
      </c>
      <c r="IFR6" s="2888" t="s">
        <v>3241</v>
      </c>
      <c r="IFS6" s="2888" t="s">
        <v>3241</v>
      </c>
      <c r="IFT6" s="2888" t="s">
        <v>3241</v>
      </c>
      <c r="IFU6" s="2888" t="s">
        <v>3241</v>
      </c>
      <c r="IFV6" s="2888" t="s">
        <v>3241</v>
      </c>
      <c r="IFW6" s="2888" t="s">
        <v>3241</v>
      </c>
      <c r="IFX6" s="2888" t="s">
        <v>3241</v>
      </c>
      <c r="IFY6" s="2888" t="s">
        <v>3241</v>
      </c>
      <c r="IFZ6" s="2888" t="s">
        <v>3241</v>
      </c>
      <c r="IGA6" s="2888" t="s">
        <v>3241</v>
      </c>
      <c r="IGB6" s="2888" t="s">
        <v>3241</v>
      </c>
      <c r="IGC6" s="2888" t="s">
        <v>3241</v>
      </c>
      <c r="IGD6" s="2888" t="s">
        <v>3241</v>
      </c>
      <c r="IGE6" s="2888" t="s">
        <v>3241</v>
      </c>
      <c r="IGF6" s="2888" t="s">
        <v>3241</v>
      </c>
      <c r="IGG6" s="2888" t="s">
        <v>3241</v>
      </c>
      <c r="IGH6" s="2888" t="s">
        <v>3241</v>
      </c>
      <c r="IGI6" s="2888" t="s">
        <v>3241</v>
      </c>
      <c r="IGJ6" s="2888" t="s">
        <v>3241</v>
      </c>
      <c r="IGK6" s="2888" t="s">
        <v>3241</v>
      </c>
      <c r="IGL6" s="2888" t="s">
        <v>3241</v>
      </c>
      <c r="IGM6" s="2888" t="s">
        <v>3241</v>
      </c>
      <c r="IGN6" s="2888" t="s">
        <v>3241</v>
      </c>
      <c r="IGO6" s="2888" t="s">
        <v>3241</v>
      </c>
      <c r="IGP6" s="2888" t="s">
        <v>3241</v>
      </c>
      <c r="IGQ6" s="2888" t="s">
        <v>3241</v>
      </c>
      <c r="IGR6" s="2888" t="s">
        <v>3241</v>
      </c>
      <c r="IGS6" s="2888" t="s">
        <v>3241</v>
      </c>
      <c r="IGT6" s="2888" t="s">
        <v>3241</v>
      </c>
      <c r="IGU6" s="2888" t="s">
        <v>3241</v>
      </c>
      <c r="IGV6" s="2888" t="s">
        <v>3241</v>
      </c>
      <c r="IGW6" s="2888" t="s">
        <v>3241</v>
      </c>
      <c r="IGX6" s="2888" t="s">
        <v>3241</v>
      </c>
      <c r="IGY6" s="2888" t="s">
        <v>3241</v>
      </c>
      <c r="IGZ6" s="2888" t="s">
        <v>3241</v>
      </c>
      <c r="IHA6" s="2888" t="s">
        <v>3241</v>
      </c>
      <c r="IHB6" s="2888" t="s">
        <v>3241</v>
      </c>
      <c r="IHC6" s="2888" t="s">
        <v>3241</v>
      </c>
      <c r="IHD6" s="2888" t="s">
        <v>3241</v>
      </c>
      <c r="IHE6" s="2888" t="s">
        <v>3241</v>
      </c>
      <c r="IHF6" s="2888" t="s">
        <v>3241</v>
      </c>
      <c r="IHG6" s="2888" t="s">
        <v>3241</v>
      </c>
      <c r="IHH6" s="2888" t="s">
        <v>3241</v>
      </c>
      <c r="IHI6" s="2888" t="s">
        <v>3241</v>
      </c>
      <c r="IHJ6" s="2888" t="s">
        <v>3241</v>
      </c>
      <c r="IHK6" s="2888" t="s">
        <v>3241</v>
      </c>
      <c r="IHL6" s="2888" t="s">
        <v>3241</v>
      </c>
      <c r="IHM6" s="2888" t="s">
        <v>3241</v>
      </c>
      <c r="IHN6" s="2888" t="s">
        <v>3241</v>
      </c>
      <c r="IHO6" s="2888" t="s">
        <v>3241</v>
      </c>
      <c r="IHP6" s="2888" t="s">
        <v>3241</v>
      </c>
      <c r="IHQ6" s="2888" t="s">
        <v>3241</v>
      </c>
      <c r="IHR6" s="2888" t="s">
        <v>3241</v>
      </c>
      <c r="IHS6" s="2888" t="s">
        <v>3241</v>
      </c>
      <c r="IHT6" s="2888" t="s">
        <v>3241</v>
      </c>
      <c r="IHU6" s="2888" t="s">
        <v>3241</v>
      </c>
      <c r="IHV6" s="2888" t="s">
        <v>3241</v>
      </c>
      <c r="IHW6" s="2888" t="s">
        <v>3241</v>
      </c>
      <c r="IHX6" s="2888" t="s">
        <v>3241</v>
      </c>
      <c r="IHY6" s="2888" t="s">
        <v>3241</v>
      </c>
      <c r="IHZ6" s="2888" t="s">
        <v>3241</v>
      </c>
      <c r="IIA6" s="2888" t="s">
        <v>3241</v>
      </c>
      <c r="IIB6" s="2888" t="s">
        <v>3241</v>
      </c>
      <c r="IIC6" s="2888" t="s">
        <v>3241</v>
      </c>
      <c r="IID6" s="2888" t="s">
        <v>3241</v>
      </c>
      <c r="IIE6" s="2888" t="s">
        <v>3241</v>
      </c>
      <c r="IIF6" s="2888" t="s">
        <v>3241</v>
      </c>
      <c r="IIG6" s="2888" t="s">
        <v>3241</v>
      </c>
      <c r="IIH6" s="2888" t="s">
        <v>3241</v>
      </c>
      <c r="III6" s="2888" t="s">
        <v>3241</v>
      </c>
      <c r="IIJ6" s="2888" t="s">
        <v>3241</v>
      </c>
      <c r="IIK6" s="2888" t="s">
        <v>3241</v>
      </c>
      <c r="IIL6" s="2888" t="s">
        <v>3241</v>
      </c>
      <c r="IIM6" s="2888" t="s">
        <v>3241</v>
      </c>
      <c r="IIN6" s="2888" t="s">
        <v>3241</v>
      </c>
      <c r="IIO6" s="2888" t="s">
        <v>3241</v>
      </c>
      <c r="IIP6" s="2888" t="s">
        <v>3241</v>
      </c>
      <c r="IIQ6" s="2888" t="s">
        <v>3241</v>
      </c>
      <c r="IIR6" s="2888" t="s">
        <v>3241</v>
      </c>
      <c r="IIS6" s="2888" t="s">
        <v>3241</v>
      </c>
      <c r="IIT6" s="2888" t="s">
        <v>3241</v>
      </c>
      <c r="IIU6" s="2888" t="s">
        <v>3241</v>
      </c>
      <c r="IIV6" s="2888" t="s">
        <v>3241</v>
      </c>
      <c r="IIW6" s="2888" t="s">
        <v>3241</v>
      </c>
      <c r="IIX6" s="2888" t="s">
        <v>3241</v>
      </c>
      <c r="IIY6" s="2888" t="s">
        <v>3241</v>
      </c>
      <c r="IIZ6" s="2888" t="s">
        <v>3241</v>
      </c>
      <c r="IJA6" s="2888" t="s">
        <v>3241</v>
      </c>
      <c r="IJB6" s="2888" t="s">
        <v>3241</v>
      </c>
      <c r="IJC6" s="2888" t="s">
        <v>3241</v>
      </c>
      <c r="IJD6" s="2888" t="s">
        <v>3241</v>
      </c>
      <c r="IJE6" s="2888" t="s">
        <v>3241</v>
      </c>
      <c r="IJF6" s="2888" t="s">
        <v>3241</v>
      </c>
      <c r="IJG6" s="2888" t="s">
        <v>3241</v>
      </c>
      <c r="IJH6" s="2888" t="s">
        <v>3241</v>
      </c>
      <c r="IJI6" s="2888" t="s">
        <v>3241</v>
      </c>
      <c r="IJJ6" s="2888" t="s">
        <v>3241</v>
      </c>
      <c r="IJK6" s="2888" t="s">
        <v>3241</v>
      </c>
      <c r="IJL6" s="2888" t="s">
        <v>3241</v>
      </c>
      <c r="IJM6" s="2888" t="s">
        <v>3241</v>
      </c>
      <c r="IJN6" s="2888" t="s">
        <v>3241</v>
      </c>
      <c r="IJO6" s="2888" t="s">
        <v>3241</v>
      </c>
      <c r="IJP6" s="2888" t="s">
        <v>3241</v>
      </c>
      <c r="IJQ6" s="2888" t="s">
        <v>3241</v>
      </c>
      <c r="IJR6" s="2888" t="s">
        <v>3241</v>
      </c>
      <c r="IJS6" s="2888" t="s">
        <v>3241</v>
      </c>
      <c r="IJT6" s="2888" t="s">
        <v>3241</v>
      </c>
      <c r="IJU6" s="2888" t="s">
        <v>3241</v>
      </c>
      <c r="IJV6" s="2888" t="s">
        <v>3241</v>
      </c>
      <c r="IJW6" s="2888" t="s">
        <v>3241</v>
      </c>
      <c r="IJX6" s="2888" t="s">
        <v>3241</v>
      </c>
      <c r="IJY6" s="2888" t="s">
        <v>3241</v>
      </c>
      <c r="IJZ6" s="2888" t="s">
        <v>3241</v>
      </c>
      <c r="IKA6" s="2888" t="s">
        <v>3241</v>
      </c>
      <c r="IKB6" s="2888" t="s">
        <v>3241</v>
      </c>
      <c r="IKC6" s="2888" t="s">
        <v>3241</v>
      </c>
      <c r="IKD6" s="2888" t="s">
        <v>3241</v>
      </c>
      <c r="IKE6" s="2888" t="s">
        <v>3241</v>
      </c>
      <c r="IKF6" s="2888" t="s">
        <v>3241</v>
      </c>
      <c r="IKG6" s="2888" t="s">
        <v>3241</v>
      </c>
      <c r="IKH6" s="2888" t="s">
        <v>3241</v>
      </c>
      <c r="IKI6" s="2888" t="s">
        <v>3241</v>
      </c>
      <c r="IKJ6" s="2888" t="s">
        <v>3241</v>
      </c>
      <c r="IKK6" s="2888" t="s">
        <v>3241</v>
      </c>
      <c r="IKL6" s="2888" t="s">
        <v>3241</v>
      </c>
      <c r="IKM6" s="2888" t="s">
        <v>3241</v>
      </c>
      <c r="IKN6" s="2888" t="s">
        <v>3241</v>
      </c>
      <c r="IKO6" s="2888" t="s">
        <v>3241</v>
      </c>
      <c r="IKP6" s="2888" t="s">
        <v>3241</v>
      </c>
      <c r="IKQ6" s="2888" t="s">
        <v>3241</v>
      </c>
      <c r="IKR6" s="2888" t="s">
        <v>3241</v>
      </c>
      <c r="IKS6" s="2888" t="s">
        <v>3241</v>
      </c>
      <c r="IKT6" s="2888" t="s">
        <v>3241</v>
      </c>
      <c r="IKU6" s="2888" t="s">
        <v>3241</v>
      </c>
      <c r="IKV6" s="2888" t="s">
        <v>3241</v>
      </c>
      <c r="IKW6" s="2888" t="s">
        <v>3241</v>
      </c>
      <c r="IKX6" s="2888" t="s">
        <v>3241</v>
      </c>
      <c r="IKY6" s="2888" t="s">
        <v>3241</v>
      </c>
      <c r="IKZ6" s="2888" t="s">
        <v>3241</v>
      </c>
      <c r="ILA6" s="2888" t="s">
        <v>3241</v>
      </c>
      <c r="ILB6" s="2888" t="s">
        <v>3241</v>
      </c>
      <c r="ILC6" s="2888" t="s">
        <v>3241</v>
      </c>
      <c r="ILD6" s="2888" t="s">
        <v>3241</v>
      </c>
      <c r="ILE6" s="2888" t="s">
        <v>3241</v>
      </c>
      <c r="ILF6" s="2888" t="s">
        <v>3241</v>
      </c>
      <c r="ILG6" s="2888" t="s">
        <v>3241</v>
      </c>
      <c r="ILH6" s="2888" t="s">
        <v>3241</v>
      </c>
      <c r="ILI6" s="2888" t="s">
        <v>3241</v>
      </c>
      <c r="ILJ6" s="2888" t="s">
        <v>3241</v>
      </c>
      <c r="ILK6" s="2888" t="s">
        <v>3241</v>
      </c>
      <c r="ILL6" s="2888" t="s">
        <v>3241</v>
      </c>
      <c r="ILM6" s="2888" t="s">
        <v>3241</v>
      </c>
      <c r="ILN6" s="2888" t="s">
        <v>3241</v>
      </c>
      <c r="ILO6" s="2888" t="s">
        <v>3241</v>
      </c>
      <c r="ILP6" s="2888" t="s">
        <v>3241</v>
      </c>
      <c r="ILQ6" s="2888" t="s">
        <v>3241</v>
      </c>
      <c r="ILR6" s="2888" t="s">
        <v>3241</v>
      </c>
      <c r="ILS6" s="2888" t="s">
        <v>3241</v>
      </c>
      <c r="ILT6" s="2888" t="s">
        <v>3241</v>
      </c>
      <c r="ILU6" s="2888" t="s">
        <v>3241</v>
      </c>
      <c r="ILV6" s="2888" t="s">
        <v>3241</v>
      </c>
      <c r="ILW6" s="2888" t="s">
        <v>3241</v>
      </c>
      <c r="ILX6" s="2888" t="s">
        <v>3241</v>
      </c>
      <c r="ILY6" s="2888" t="s">
        <v>3241</v>
      </c>
      <c r="ILZ6" s="2888" t="s">
        <v>3241</v>
      </c>
      <c r="IMA6" s="2888" t="s">
        <v>3241</v>
      </c>
      <c r="IMB6" s="2888" t="s">
        <v>3241</v>
      </c>
      <c r="IMC6" s="2888" t="s">
        <v>3241</v>
      </c>
      <c r="IMD6" s="2888" t="s">
        <v>3241</v>
      </c>
      <c r="IME6" s="2888" t="s">
        <v>3241</v>
      </c>
      <c r="IMF6" s="2888" t="s">
        <v>3241</v>
      </c>
      <c r="IMG6" s="2888" t="s">
        <v>3241</v>
      </c>
      <c r="IMH6" s="2888" t="s">
        <v>3241</v>
      </c>
      <c r="IMI6" s="2888" t="s">
        <v>3241</v>
      </c>
      <c r="IMJ6" s="2888" t="s">
        <v>3241</v>
      </c>
      <c r="IMK6" s="2888" t="s">
        <v>3241</v>
      </c>
      <c r="IML6" s="2888" t="s">
        <v>3241</v>
      </c>
      <c r="IMM6" s="2888" t="s">
        <v>3241</v>
      </c>
      <c r="IMN6" s="2888" t="s">
        <v>3241</v>
      </c>
      <c r="IMO6" s="2888" t="s">
        <v>3241</v>
      </c>
      <c r="IMP6" s="2888" t="s">
        <v>3241</v>
      </c>
      <c r="IMQ6" s="2888" t="s">
        <v>3241</v>
      </c>
      <c r="IMR6" s="2888" t="s">
        <v>3241</v>
      </c>
      <c r="IMS6" s="2888" t="s">
        <v>3241</v>
      </c>
      <c r="IMT6" s="2888" t="s">
        <v>3241</v>
      </c>
      <c r="IMU6" s="2888" t="s">
        <v>3241</v>
      </c>
      <c r="IMV6" s="2888" t="s">
        <v>3241</v>
      </c>
      <c r="IMW6" s="2888" t="s">
        <v>3241</v>
      </c>
      <c r="IMX6" s="2888" t="s">
        <v>3241</v>
      </c>
      <c r="IMY6" s="2888" t="s">
        <v>3241</v>
      </c>
      <c r="IMZ6" s="2888" t="s">
        <v>3241</v>
      </c>
      <c r="INA6" s="2888" t="s">
        <v>3241</v>
      </c>
      <c r="INB6" s="2888" t="s">
        <v>3241</v>
      </c>
      <c r="INC6" s="2888" t="s">
        <v>3241</v>
      </c>
      <c r="IND6" s="2888" t="s">
        <v>3241</v>
      </c>
      <c r="INE6" s="2888" t="s">
        <v>3241</v>
      </c>
      <c r="INF6" s="2888" t="s">
        <v>3241</v>
      </c>
      <c r="ING6" s="2888" t="s">
        <v>3241</v>
      </c>
      <c r="INH6" s="2888" t="s">
        <v>3241</v>
      </c>
      <c r="INI6" s="2888" t="s">
        <v>3241</v>
      </c>
      <c r="INJ6" s="2888" t="s">
        <v>3241</v>
      </c>
      <c r="INK6" s="2888" t="s">
        <v>3241</v>
      </c>
      <c r="INL6" s="2888" t="s">
        <v>3241</v>
      </c>
      <c r="INM6" s="2888" t="s">
        <v>3241</v>
      </c>
      <c r="INN6" s="2888" t="s">
        <v>3241</v>
      </c>
      <c r="INO6" s="2888" t="s">
        <v>3241</v>
      </c>
      <c r="INP6" s="2888" t="s">
        <v>3241</v>
      </c>
      <c r="INQ6" s="2888" t="s">
        <v>3241</v>
      </c>
      <c r="INR6" s="2888" t="s">
        <v>3241</v>
      </c>
      <c r="INS6" s="2888" t="s">
        <v>3241</v>
      </c>
      <c r="INT6" s="2888" t="s">
        <v>3241</v>
      </c>
      <c r="INU6" s="2888" t="s">
        <v>3241</v>
      </c>
      <c r="INV6" s="2888" t="s">
        <v>3241</v>
      </c>
      <c r="INW6" s="2888" t="s">
        <v>3241</v>
      </c>
      <c r="INX6" s="2888" t="s">
        <v>3241</v>
      </c>
      <c r="INY6" s="2888" t="s">
        <v>3241</v>
      </c>
      <c r="INZ6" s="2888" t="s">
        <v>3241</v>
      </c>
      <c r="IOA6" s="2888" t="s">
        <v>3241</v>
      </c>
      <c r="IOB6" s="2888" t="s">
        <v>3241</v>
      </c>
      <c r="IOC6" s="2888" t="s">
        <v>3241</v>
      </c>
      <c r="IOD6" s="2888" t="s">
        <v>3241</v>
      </c>
      <c r="IOE6" s="2888" t="s">
        <v>3241</v>
      </c>
      <c r="IOF6" s="2888" t="s">
        <v>3241</v>
      </c>
      <c r="IOG6" s="2888" t="s">
        <v>3241</v>
      </c>
      <c r="IOH6" s="2888" t="s">
        <v>3241</v>
      </c>
      <c r="IOI6" s="2888" t="s">
        <v>3241</v>
      </c>
      <c r="IOJ6" s="2888" t="s">
        <v>3241</v>
      </c>
      <c r="IOK6" s="2888" t="s">
        <v>3241</v>
      </c>
      <c r="IOL6" s="2888" t="s">
        <v>3241</v>
      </c>
      <c r="IOM6" s="2888" t="s">
        <v>3241</v>
      </c>
      <c r="ION6" s="2888" t="s">
        <v>3241</v>
      </c>
      <c r="IOO6" s="2888" t="s">
        <v>3241</v>
      </c>
      <c r="IOP6" s="2888" t="s">
        <v>3241</v>
      </c>
      <c r="IOQ6" s="2888" t="s">
        <v>3241</v>
      </c>
      <c r="IOR6" s="2888" t="s">
        <v>3241</v>
      </c>
      <c r="IOS6" s="2888" t="s">
        <v>3241</v>
      </c>
      <c r="IOT6" s="2888" t="s">
        <v>3241</v>
      </c>
      <c r="IOU6" s="2888" t="s">
        <v>3241</v>
      </c>
      <c r="IOV6" s="2888" t="s">
        <v>3241</v>
      </c>
      <c r="IOW6" s="2888" t="s">
        <v>3241</v>
      </c>
      <c r="IOX6" s="2888" t="s">
        <v>3241</v>
      </c>
      <c r="IOY6" s="2888" t="s">
        <v>3241</v>
      </c>
      <c r="IOZ6" s="2888" t="s">
        <v>3241</v>
      </c>
      <c r="IPA6" s="2888" t="s">
        <v>3241</v>
      </c>
      <c r="IPB6" s="2888" t="s">
        <v>3241</v>
      </c>
      <c r="IPC6" s="2888" t="s">
        <v>3241</v>
      </c>
      <c r="IPD6" s="2888" t="s">
        <v>3241</v>
      </c>
      <c r="IPE6" s="2888" t="s">
        <v>3241</v>
      </c>
      <c r="IPF6" s="2888" t="s">
        <v>3241</v>
      </c>
      <c r="IPG6" s="2888" t="s">
        <v>3241</v>
      </c>
      <c r="IPH6" s="2888" t="s">
        <v>3241</v>
      </c>
      <c r="IPI6" s="2888" t="s">
        <v>3241</v>
      </c>
      <c r="IPJ6" s="2888" t="s">
        <v>3241</v>
      </c>
      <c r="IPK6" s="2888" t="s">
        <v>3241</v>
      </c>
      <c r="IPL6" s="2888" t="s">
        <v>3241</v>
      </c>
      <c r="IPM6" s="2888" t="s">
        <v>3241</v>
      </c>
      <c r="IPN6" s="2888" t="s">
        <v>3241</v>
      </c>
      <c r="IPO6" s="2888" t="s">
        <v>3241</v>
      </c>
      <c r="IPP6" s="2888" t="s">
        <v>3241</v>
      </c>
      <c r="IPQ6" s="2888" t="s">
        <v>3241</v>
      </c>
      <c r="IPR6" s="2888" t="s">
        <v>3241</v>
      </c>
      <c r="IPS6" s="2888" t="s">
        <v>3241</v>
      </c>
      <c r="IPT6" s="2888" t="s">
        <v>3241</v>
      </c>
      <c r="IPU6" s="2888" t="s">
        <v>3241</v>
      </c>
      <c r="IPV6" s="2888" t="s">
        <v>3241</v>
      </c>
      <c r="IPW6" s="2888" t="s">
        <v>3241</v>
      </c>
      <c r="IPX6" s="2888" t="s">
        <v>3241</v>
      </c>
      <c r="IPY6" s="2888" t="s">
        <v>3241</v>
      </c>
      <c r="IPZ6" s="2888" t="s">
        <v>3241</v>
      </c>
      <c r="IQA6" s="2888" t="s">
        <v>3241</v>
      </c>
      <c r="IQB6" s="2888" t="s">
        <v>3241</v>
      </c>
      <c r="IQC6" s="2888" t="s">
        <v>3241</v>
      </c>
      <c r="IQD6" s="2888" t="s">
        <v>3241</v>
      </c>
      <c r="IQE6" s="2888" t="s">
        <v>3241</v>
      </c>
      <c r="IQF6" s="2888" t="s">
        <v>3241</v>
      </c>
      <c r="IQG6" s="2888" t="s">
        <v>3241</v>
      </c>
      <c r="IQH6" s="2888" t="s">
        <v>3241</v>
      </c>
      <c r="IQI6" s="2888" t="s">
        <v>3241</v>
      </c>
      <c r="IQJ6" s="2888" t="s">
        <v>3241</v>
      </c>
      <c r="IQK6" s="2888" t="s">
        <v>3241</v>
      </c>
      <c r="IQL6" s="2888" t="s">
        <v>3241</v>
      </c>
      <c r="IQM6" s="2888" t="s">
        <v>3241</v>
      </c>
      <c r="IQN6" s="2888" t="s">
        <v>3241</v>
      </c>
      <c r="IQO6" s="2888" t="s">
        <v>3241</v>
      </c>
      <c r="IQP6" s="2888" t="s">
        <v>3241</v>
      </c>
      <c r="IQQ6" s="2888" t="s">
        <v>3241</v>
      </c>
      <c r="IQR6" s="2888" t="s">
        <v>3241</v>
      </c>
      <c r="IQS6" s="2888" t="s">
        <v>3241</v>
      </c>
      <c r="IQT6" s="2888" t="s">
        <v>3241</v>
      </c>
      <c r="IQU6" s="2888" t="s">
        <v>3241</v>
      </c>
      <c r="IQV6" s="2888" t="s">
        <v>3241</v>
      </c>
      <c r="IQW6" s="2888" t="s">
        <v>3241</v>
      </c>
      <c r="IQX6" s="2888" t="s">
        <v>3241</v>
      </c>
      <c r="IQY6" s="2888" t="s">
        <v>3241</v>
      </c>
      <c r="IQZ6" s="2888" t="s">
        <v>3241</v>
      </c>
      <c r="IRA6" s="2888" t="s">
        <v>3241</v>
      </c>
      <c r="IRB6" s="2888" t="s">
        <v>3241</v>
      </c>
      <c r="IRC6" s="2888" t="s">
        <v>3241</v>
      </c>
      <c r="IRD6" s="2888" t="s">
        <v>3241</v>
      </c>
      <c r="IRE6" s="2888" t="s">
        <v>3241</v>
      </c>
      <c r="IRF6" s="2888" t="s">
        <v>3241</v>
      </c>
      <c r="IRG6" s="2888" t="s">
        <v>3241</v>
      </c>
      <c r="IRH6" s="2888" t="s">
        <v>3241</v>
      </c>
      <c r="IRI6" s="2888" t="s">
        <v>3241</v>
      </c>
      <c r="IRJ6" s="2888" t="s">
        <v>3241</v>
      </c>
      <c r="IRK6" s="2888" t="s">
        <v>3241</v>
      </c>
      <c r="IRL6" s="2888" t="s">
        <v>3241</v>
      </c>
      <c r="IRM6" s="2888" t="s">
        <v>3241</v>
      </c>
      <c r="IRN6" s="2888" t="s">
        <v>3241</v>
      </c>
      <c r="IRO6" s="2888" t="s">
        <v>3241</v>
      </c>
      <c r="IRP6" s="2888" t="s">
        <v>3241</v>
      </c>
      <c r="IRQ6" s="2888" t="s">
        <v>3241</v>
      </c>
      <c r="IRR6" s="2888" t="s">
        <v>3241</v>
      </c>
      <c r="IRS6" s="2888" t="s">
        <v>3241</v>
      </c>
      <c r="IRT6" s="2888" t="s">
        <v>3241</v>
      </c>
      <c r="IRU6" s="2888" t="s">
        <v>3241</v>
      </c>
      <c r="IRV6" s="2888" t="s">
        <v>3241</v>
      </c>
      <c r="IRW6" s="2888" t="s">
        <v>3241</v>
      </c>
      <c r="IRX6" s="2888" t="s">
        <v>3241</v>
      </c>
      <c r="IRY6" s="2888" t="s">
        <v>3241</v>
      </c>
      <c r="IRZ6" s="2888" t="s">
        <v>3241</v>
      </c>
      <c r="ISA6" s="2888" t="s">
        <v>3241</v>
      </c>
      <c r="ISB6" s="2888" t="s">
        <v>3241</v>
      </c>
      <c r="ISC6" s="2888" t="s">
        <v>3241</v>
      </c>
      <c r="ISD6" s="2888" t="s">
        <v>3241</v>
      </c>
      <c r="ISE6" s="2888" t="s">
        <v>3241</v>
      </c>
      <c r="ISF6" s="2888" t="s">
        <v>3241</v>
      </c>
      <c r="ISG6" s="2888" t="s">
        <v>3241</v>
      </c>
      <c r="ISH6" s="2888" t="s">
        <v>3241</v>
      </c>
      <c r="ISI6" s="2888" t="s">
        <v>3241</v>
      </c>
      <c r="ISJ6" s="2888" t="s">
        <v>3241</v>
      </c>
      <c r="ISK6" s="2888" t="s">
        <v>3241</v>
      </c>
      <c r="ISL6" s="2888" t="s">
        <v>3241</v>
      </c>
      <c r="ISM6" s="2888" t="s">
        <v>3241</v>
      </c>
      <c r="ISN6" s="2888" t="s">
        <v>3241</v>
      </c>
      <c r="ISO6" s="2888" t="s">
        <v>3241</v>
      </c>
      <c r="ISP6" s="2888" t="s">
        <v>3241</v>
      </c>
      <c r="ISQ6" s="2888" t="s">
        <v>3241</v>
      </c>
      <c r="ISR6" s="2888" t="s">
        <v>3241</v>
      </c>
      <c r="ISS6" s="2888" t="s">
        <v>3241</v>
      </c>
      <c r="IST6" s="2888" t="s">
        <v>3241</v>
      </c>
      <c r="ISU6" s="2888" t="s">
        <v>3241</v>
      </c>
      <c r="ISV6" s="2888" t="s">
        <v>3241</v>
      </c>
      <c r="ISW6" s="2888" t="s">
        <v>3241</v>
      </c>
      <c r="ISX6" s="2888" t="s">
        <v>3241</v>
      </c>
      <c r="ISY6" s="2888" t="s">
        <v>3241</v>
      </c>
      <c r="ISZ6" s="2888" t="s">
        <v>3241</v>
      </c>
      <c r="ITA6" s="2888" t="s">
        <v>3241</v>
      </c>
      <c r="ITB6" s="2888" t="s">
        <v>3241</v>
      </c>
      <c r="ITC6" s="2888" t="s">
        <v>3241</v>
      </c>
      <c r="ITD6" s="2888" t="s">
        <v>3241</v>
      </c>
      <c r="ITE6" s="2888" t="s">
        <v>3241</v>
      </c>
      <c r="ITF6" s="2888" t="s">
        <v>3241</v>
      </c>
      <c r="ITG6" s="2888" t="s">
        <v>3241</v>
      </c>
      <c r="ITH6" s="2888" t="s">
        <v>3241</v>
      </c>
      <c r="ITI6" s="2888" t="s">
        <v>3241</v>
      </c>
      <c r="ITJ6" s="2888" t="s">
        <v>3241</v>
      </c>
      <c r="ITK6" s="2888" t="s">
        <v>3241</v>
      </c>
      <c r="ITL6" s="2888" t="s">
        <v>3241</v>
      </c>
      <c r="ITM6" s="2888" t="s">
        <v>3241</v>
      </c>
      <c r="ITN6" s="2888" t="s">
        <v>3241</v>
      </c>
      <c r="ITO6" s="2888" t="s">
        <v>3241</v>
      </c>
      <c r="ITP6" s="2888" t="s">
        <v>3241</v>
      </c>
      <c r="ITQ6" s="2888" t="s">
        <v>3241</v>
      </c>
      <c r="ITR6" s="2888" t="s">
        <v>3241</v>
      </c>
      <c r="ITS6" s="2888" t="s">
        <v>3241</v>
      </c>
      <c r="ITT6" s="2888" t="s">
        <v>3241</v>
      </c>
      <c r="ITU6" s="2888" t="s">
        <v>3241</v>
      </c>
      <c r="ITV6" s="2888" t="s">
        <v>3241</v>
      </c>
      <c r="ITW6" s="2888" t="s">
        <v>3241</v>
      </c>
      <c r="ITX6" s="2888" t="s">
        <v>3241</v>
      </c>
      <c r="ITY6" s="2888" t="s">
        <v>3241</v>
      </c>
      <c r="ITZ6" s="2888" t="s">
        <v>3241</v>
      </c>
      <c r="IUA6" s="2888" t="s">
        <v>3241</v>
      </c>
      <c r="IUB6" s="2888" t="s">
        <v>3241</v>
      </c>
      <c r="IUC6" s="2888" t="s">
        <v>3241</v>
      </c>
      <c r="IUD6" s="2888" t="s">
        <v>3241</v>
      </c>
      <c r="IUE6" s="2888" t="s">
        <v>3241</v>
      </c>
      <c r="IUF6" s="2888" t="s">
        <v>3241</v>
      </c>
      <c r="IUG6" s="2888" t="s">
        <v>3241</v>
      </c>
      <c r="IUH6" s="2888" t="s">
        <v>3241</v>
      </c>
      <c r="IUI6" s="2888" t="s">
        <v>3241</v>
      </c>
      <c r="IUJ6" s="2888" t="s">
        <v>3241</v>
      </c>
      <c r="IUK6" s="2888" t="s">
        <v>3241</v>
      </c>
      <c r="IUL6" s="2888" t="s">
        <v>3241</v>
      </c>
      <c r="IUM6" s="2888" t="s">
        <v>3241</v>
      </c>
      <c r="IUN6" s="2888" t="s">
        <v>3241</v>
      </c>
      <c r="IUO6" s="2888" t="s">
        <v>3241</v>
      </c>
      <c r="IUP6" s="2888" t="s">
        <v>3241</v>
      </c>
      <c r="IUQ6" s="2888" t="s">
        <v>3241</v>
      </c>
      <c r="IUR6" s="2888" t="s">
        <v>3241</v>
      </c>
      <c r="IUS6" s="2888" t="s">
        <v>3241</v>
      </c>
      <c r="IUT6" s="2888" t="s">
        <v>3241</v>
      </c>
      <c r="IUU6" s="2888" t="s">
        <v>3241</v>
      </c>
      <c r="IUV6" s="2888" t="s">
        <v>3241</v>
      </c>
      <c r="IUW6" s="2888" t="s">
        <v>3241</v>
      </c>
      <c r="IUX6" s="2888" t="s">
        <v>3241</v>
      </c>
      <c r="IUY6" s="2888" t="s">
        <v>3241</v>
      </c>
      <c r="IUZ6" s="2888" t="s">
        <v>3241</v>
      </c>
      <c r="IVA6" s="2888" t="s">
        <v>3241</v>
      </c>
      <c r="IVB6" s="2888" t="s">
        <v>3241</v>
      </c>
      <c r="IVC6" s="2888" t="s">
        <v>3241</v>
      </c>
      <c r="IVD6" s="2888" t="s">
        <v>3241</v>
      </c>
      <c r="IVE6" s="2888" t="s">
        <v>3241</v>
      </c>
      <c r="IVF6" s="2888" t="s">
        <v>3241</v>
      </c>
      <c r="IVG6" s="2888" t="s">
        <v>3241</v>
      </c>
      <c r="IVH6" s="2888" t="s">
        <v>3241</v>
      </c>
      <c r="IVI6" s="2888" t="s">
        <v>3241</v>
      </c>
      <c r="IVJ6" s="2888" t="s">
        <v>3241</v>
      </c>
      <c r="IVK6" s="2888" t="s">
        <v>3241</v>
      </c>
      <c r="IVL6" s="2888" t="s">
        <v>3241</v>
      </c>
      <c r="IVM6" s="2888" t="s">
        <v>3241</v>
      </c>
      <c r="IVN6" s="2888" t="s">
        <v>3241</v>
      </c>
      <c r="IVO6" s="2888" t="s">
        <v>3241</v>
      </c>
      <c r="IVP6" s="2888" t="s">
        <v>3241</v>
      </c>
      <c r="IVQ6" s="2888" t="s">
        <v>3241</v>
      </c>
      <c r="IVR6" s="2888" t="s">
        <v>3241</v>
      </c>
      <c r="IVS6" s="2888" t="s">
        <v>3241</v>
      </c>
      <c r="IVT6" s="2888" t="s">
        <v>3241</v>
      </c>
      <c r="IVU6" s="2888" t="s">
        <v>3241</v>
      </c>
      <c r="IVV6" s="2888" t="s">
        <v>3241</v>
      </c>
      <c r="IVW6" s="2888" t="s">
        <v>3241</v>
      </c>
      <c r="IVX6" s="2888" t="s">
        <v>3241</v>
      </c>
      <c r="IVY6" s="2888" t="s">
        <v>3241</v>
      </c>
      <c r="IVZ6" s="2888" t="s">
        <v>3241</v>
      </c>
      <c r="IWA6" s="2888" t="s">
        <v>3241</v>
      </c>
      <c r="IWB6" s="2888" t="s">
        <v>3241</v>
      </c>
      <c r="IWC6" s="2888" t="s">
        <v>3241</v>
      </c>
      <c r="IWD6" s="2888" t="s">
        <v>3241</v>
      </c>
      <c r="IWE6" s="2888" t="s">
        <v>3241</v>
      </c>
      <c r="IWF6" s="2888" t="s">
        <v>3241</v>
      </c>
      <c r="IWG6" s="2888" t="s">
        <v>3241</v>
      </c>
      <c r="IWH6" s="2888" t="s">
        <v>3241</v>
      </c>
      <c r="IWI6" s="2888" t="s">
        <v>3241</v>
      </c>
      <c r="IWJ6" s="2888" t="s">
        <v>3241</v>
      </c>
      <c r="IWK6" s="2888" t="s">
        <v>3241</v>
      </c>
      <c r="IWL6" s="2888" t="s">
        <v>3241</v>
      </c>
      <c r="IWM6" s="2888" t="s">
        <v>3241</v>
      </c>
      <c r="IWN6" s="2888" t="s">
        <v>3241</v>
      </c>
      <c r="IWO6" s="2888" t="s">
        <v>3241</v>
      </c>
      <c r="IWP6" s="2888" t="s">
        <v>3241</v>
      </c>
      <c r="IWQ6" s="2888" t="s">
        <v>3241</v>
      </c>
      <c r="IWR6" s="2888" t="s">
        <v>3241</v>
      </c>
      <c r="IWS6" s="2888" t="s">
        <v>3241</v>
      </c>
      <c r="IWT6" s="2888" t="s">
        <v>3241</v>
      </c>
      <c r="IWU6" s="2888" t="s">
        <v>3241</v>
      </c>
      <c r="IWV6" s="2888" t="s">
        <v>3241</v>
      </c>
      <c r="IWW6" s="2888" t="s">
        <v>3241</v>
      </c>
      <c r="IWX6" s="2888" t="s">
        <v>3241</v>
      </c>
      <c r="IWY6" s="2888" t="s">
        <v>3241</v>
      </c>
      <c r="IWZ6" s="2888" t="s">
        <v>3241</v>
      </c>
      <c r="IXA6" s="2888" t="s">
        <v>3241</v>
      </c>
      <c r="IXB6" s="2888" t="s">
        <v>3241</v>
      </c>
      <c r="IXC6" s="2888" t="s">
        <v>3241</v>
      </c>
      <c r="IXD6" s="2888" t="s">
        <v>3241</v>
      </c>
      <c r="IXE6" s="2888" t="s">
        <v>3241</v>
      </c>
      <c r="IXF6" s="2888" t="s">
        <v>3241</v>
      </c>
      <c r="IXG6" s="2888" t="s">
        <v>3241</v>
      </c>
      <c r="IXH6" s="2888" t="s">
        <v>3241</v>
      </c>
      <c r="IXI6" s="2888" t="s">
        <v>3241</v>
      </c>
      <c r="IXJ6" s="2888" t="s">
        <v>3241</v>
      </c>
      <c r="IXK6" s="2888" t="s">
        <v>3241</v>
      </c>
      <c r="IXL6" s="2888" t="s">
        <v>3241</v>
      </c>
      <c r="IXM6" s="2888" t="s">
        <v>3241</v>
      </c>
      <c r="IXN6" s="2888" t="s">
        <v>3241</v>
      </c>
      <c r="IXO6" s="2888" t="s">
        <v>3241</v>
      </c>
      <c r="IXP6" s="2888" t="s">
        <v>3241</v>
      </c>
      <c r="IXQ6" s="2888" t="s">
        <v>3241</v>
      </c>
      <c r="IXR6" s="2888" t="s">
        <v>3241</v>
      </c>
      <c r="IXS6" s="2888" t="s">
        <v>3241</v>
      </c>
      <c r="IXT6" s="2888" t="s">
        <v>3241</v>
      </c>
      <c r="IXU6" s="2888" t="s">
        <v>3241</v>
      </c>
      <c r="IXV6" s="2888" t="s">
        <v>3241</v>
      </c>
      <c r="IXW6" s="2888" t="s">
        <v>3241</v>
      </c>
      <c r="IXX6" s="2888" t="s">
        <v>3241</v>
      </c>
      <c r="IXY6" s="2888" t="s">
        <v>3241</v>
      </c>
      <c r="IXZ6" s="2888" t="s">
        <v>3241</v>
      </c>
      <c r="IYA6" s="2888" t="s">
        <v>3241</v>
      </c>
      <c r="IYB6" s="2888" t="s">
        <v>3241</v>
      </c>
      <c r="IYC6" s="2888" t="s">
        <v>3241</v>
      </c>
      <c r="IYD6" s="2888" t="s">
        <v>3241</v>
      </c>
      <c r="IYE6" s="2888" t="s">
        <v>3241</v>
      </c>
      <c r="IYF6" s="2888" t="s">
        <v>3241</v>
      </c>
      <c r="IYG6" s="2888" t="s">
        <v>3241</v>
      </c>
      <c r="IYH6" s="2888" t="s">
        <v>3241</v>
      </c>
      <c r="IYI6" s="2888" t="s">
        <v>3241</v>
      </c>
      <c r="IYJ6" s="2888" t="s">
        <v>3241</v>
      </c>
      <c r="IYK6" s="2888" t="s">
        <v>3241</v>
      </c>
      <c r="IYL6" s="2888" t="s">
        <v>3241</v>
      </c>
      <c r="IYM6" s="2888" t="s">
        <v>3241</v>
      </c>
      <c r="IYN6" s="2888" t="s">
        <v>3241</v>
      </c>
      <c r="IYO6" s="2888" t="s">
        <v>3241</v>
      </c>
      <c r="IYP6" s="2888" t="s">
        <v>3241</v>
      </c>
      <c r="IYQ6" s="2888" t="s">
        <v>3241</v>
      </c>
      <c r="IYR6" s="2888" t="s">
        <v>3241</v>
      </c>
      <c r="IYS6" s="2888" t="s">
        <v>3241</v>
      </c>
      <c r="IYT6" s="2888" t="s">
        <v>3241</v>
      </c>
      <c r="IYU6" s="2888" t="s">
        <v>3241</v>
      </c>
      <c r="IYV6" s="2888" t="s">
        <v>3241</v>
      </c>
      <c r="IYW6" s="2888" t="s">
        <v>3241</v>
      </c>
      <c r="IYX6" s="2888" t="s">
        <v>3241</v>
      </c>
      <c r="IYY6" s="2888" t="s">
        <v>3241</v>
      </c>
      <c r="IYZ6" s="2888" t="s">
        <v>3241</v>
      </c>
      <c r="IZA6" s="2888" t="s">
        <v>3241</v>
      </c>
      <c r="IZB6" s="2888" t="s">
        <v>3241</v>
      </c>
      <c r="IZC6" s="2888" t="s">
        <v>3241</v>
      </c>
      <c r="IZD6" s="2888" t="s">
        <v>3241</v>
      </c>
      <c r="IZE6" s="2888" t="s">
        <v>3241</v>
      </c>
      <c r="IZF6" s="2888" t="s">
        <v>3241</v>
      </c>
      <c r="IZG6" s="2888" t="s">
        <v>3241</v>
      </c>
      <c r="IZH6" s="2888" t="s">
        <v>3241</v>
      </c>
      <c r="IZI6" s="2888" t="s">
        <v>3241</v>
      </c>
      <c r="IZJ6" s="2888" t="s">
        <v>3241</v>
      </c>
      <c r="IZK6" s="2888" t="s">
        <v>3241</v>
      </c>
      <c r="IZL6" s="2888" t="s">
        <v>3241</v>
      </c>
      <c r="IZM6" s="2888" t="s">
        <v>3241</v>
      </c>
      <c r="IZN6" s="2888" t="s">
        <v>3241</v>
      </c>
      <c r="IZO6" s="2888" t="s">
        <v>3241</v>
      </c>
      <c r="IZP6" s="2888" t="s">
        <v>3241</v>
      </c>
      <c r="IZQ6" s="2888" t="s">
        <v>3241</v>
      </c>
      <c r="IZR6" s="2888" t="s">
        <v>3241</v>
      </c>
      <c r="IZS6" s="2888" t="s">
        <v>3241</v>
      </c>
      <c r="IZT6" s="2888" t="s">
        <v>3241</v>
      </c>
      <c r="IZU6" s="2888" t="s">
        <v>3241</v>
      </c>
      <c r="IZV6" s="2888" t="s">
        <v>3241</v>
      </c>
      <c r="IZW6" s="2888" t="s">
        <v>3241</v>
      </c>
      <c r="IZX6" s="2888" t="s">
        <v>3241</v>
      </c>
      <c r="IZY6" s="2888" t="s">
        <v>3241</v>
      </c>
      <c r="IZZ6" s="2888" t="s">
        <v>3241</v>
      </c>
      <c r="JAA6" s="2888" t="s">
        <v>3241</v>
      </c>
      <c r="JAB6" s="2888" t="s">
        <v>3241</v>
      </c>
      <c r="JAC6" s="2888" t="s">
        <v>3241</v>
      </c>
      <c r="JAD6" s="2888" t="s">
        <v>3241</v>
      </c>
      <c r="JAE6" s="2888" t="s">
        <v>3241</v>
      </c>
      <c r="JAF6" s="2888" t="s">
        <v>3241</v>
      </c>
      <c r="JAG6" s="2888" t="s">
        <v>3241</v>
      </c>
      <c r="JAH6" s="2888" t="s">
        <v>3241</v>
      </c>
      <c r="JAI6" s="2888" t="s">
        <v>3241</v>
      </c>
      <c r="JAJ6" s="2888" t="s">
        <v>3241</v>
      </c>
      <c r="JAK6" s="2888" t="s">
        <v>3241</v>
      </c>
      <c r="JAL6" s="2888" t="s">
        <v>3241</v>
      </c>
      <c r="JAM6" s="2888" t="s">
        <v>3241</v>
      </c>
      <c r="JAN6" s="2888" t="s">
        <v>3241</v>
      </c>
      <c r="JAO6" s="2888" t="s">
        <v>3241</v>
      </c>
      <c r="JAP6" s="2888" t="s">
        <v>3241</v>
      </c>
      <c r="JAQ6" s="2888" t="s">
        <v>3241</v>
      </c>
      <c r="JAR6" s="2888" t="s">
        <v>3241</v>
      </c>
      <c r="JAS6" s="2888" t="s">
        <v>3241</v>
      </c>
      <c r="JAT6" s="2888" t="s">
        <v>3241</v>
      </c>
      <c r="JAU6" s="2888" t="s">
        <v>3241</v>
      </c>
      <c r="JAV6" s="2888" t="s">
        <v>3241</v>
      </c>
      <c r="JAW6" s="2888" t="s">
        <v>3241</v>
      </c>
      <c r="JAX6" s="2888" t="s">
        <v>3241</v>
      </c>
      <c r="JAY6" s="2888" t="s">
        <v>3241</v>
      </c>
      <c r="JAZ6" s="2888" t="s">
        <v>3241</v>
      </c>
      <c r="JBA6" s="2888" t="s">
        <v>3241</v>
      </c>
      <c r="JBB6" s="2888" t="s">
        <v>3241</v>
      </c>
      <c r="JBC6" s="2888" t="s">
        <v>3241</v>
      </c>
      <c r="JBD6" s="2888" t="s">
        <v>3241</v>
      </c>
      <c r="JBE6" s="2888" t="s">
        <v>3241</v>
      </c>
      <c r="JBF6" s="2888" t="s">
        <v>3241</v>
      </c>
      <c r="JBG6" s="2888" t="s">
        <v>3241</v>
      </c>
      <c r="JBH6" s="2888" t="s">
        <v>3241</v>
      </c>
      <c r="JBI6" s="2888" t="s">
        <v>3241</v>
      </c>
      <c r="JBJ6" s="2888" t="s">
        <v>3241</v>
      </c>
      <c r="JBK6" s="2888" t="s">
        <v>3241</v>
      </c>
      <c r="JBL6" s="2888" t="s">
        <v>3241</v>
      </c>
      <c r="JBM6" s="2888" t="s">
        <v>3241</v>
      </c>
      <c r="JBN6" s="2888" t="s">
        <v>3241</v>
      </c>
      <c r="JBO6" s="2888" t="s">
        <v>3241</v>
      </c>
      <c r="JBP6" s="2888" t="s">
        <v>3241</v>
      </c>
      <c r="JBQ6" s="2888" t="s">
        <v>3241</v>
      </c>
      <c r="JBR6" s="2888" t="s">
        <v>3241</v>
      </c>
      <c r="JBS6" s="2888" t="s">
        <v>3241</v>
      </c>
      <c r="JBT6" s="2888" t="s">
        <v>3241</v>
      </c>
      <c r="JBU6" s="2888" t="s">
        <v>3241</v>
      </c>
      <c r="JBV6" s="2888" t="s">
        <v>3241</v>
      </c>
      <c r="JBW6" s="2888" t="s">
        <v>3241</v>
      </c>
      <c r="JBX6" s="2888" t="s">
        <v>3241</v>
      </c>
      <c r="JBY6" s="2888" t="s">
        <v>3241</v>
      </c>
      <c r="JBZ6" s="2888" t="s">
        <v>3241</v>
      </c>
      <c r="JCA6" s="2888" t="s">
        <v>3241</v>
      </c>
      <c r="JCB6" s="2888" t="s">
        <v>3241</v>
      </c>
      <c r="JCC6" s="2888" t="s">
        <v>3241</v>
      </c>
      <c r="JCD6" s="2888" t="s">
        <v>3241</v>
      </c>
      <c r="JCE6" s="2888" t="s">
        <v>3241</v>
      </c>
      <c r="JCF6" s="2888" t="s">
        <v>3241</v>
      </c>
      <c r="JCG6" s="2888" t="s">
        <v>3241</v>
      </c>
      <c r="JCH6" s="2888" t="s">
        <v>3241</v>
      </c>
      <c r="JCI6" s="2888" t="s">
        <v>3241</v>
      </c>
      <c r="JCJ6" s="2888" t="s">
        <v>3241</v>
      </c>
      <c r="JCK6" s="2888" t="s">
        <v>3241</v>
      </c>
      <c r="JCL6" s="2888" t="s">
        <v>3241</v>
      </c>
      <c r="JCM6" s="2888" t="s">
        <v>3241</v>
      </c>
      <c r="JCN6" s="2888" t="s">
        <v>3241</v>
      </c>
      <c r="JCO6" s="2888" t="s">
        <v>3241</v>
      </c>
      <c r="JCP6" s="2888" t="s">
        <v>3241</v>
      </c>
      <c r="JCQ6" s="2888" t="s">
        <v>3241</v>
      </c>
      <c r="JCR6" s="2888" t="s">
        <v>3241</v>
      </c>
      <c r="JCS6" s="2888" t="s">
        <v>3241</v>
      </c>
      <c r="JCT6" s="2888" t="s">
        <v>3241</v>
      </c>
      <c r="JCU6" s="2888" t="s">
        <v>3241</v>
      </c>
      <c r="JCV6" s="2888" t="s">
        <v>3241</v>
      </c>
      <c r="JCW6" s="2888" t="s">
        <v>3241</v>
      </c>
      <c r="JCX6" s="2888" t="s">
        <v>3241</v>
      </c>
      <c r="JCY6" s="2888" t="s">
        <v>3241</v>
      </c>
      <c r="JCZ6" s="2888" t="s">
        <v>3241</v>
      </c>
      <c r="JDA6" s="2888" t="s">
        <v>3241</v>
      </c>
      <c r="JDB6" s="2888" t="s">
        <v>3241</v>
      </c>
      <c r="JDC6" s="2888" t="s">
        <v>3241</v>
      </c>
      <c r="JDD6" s="2888" t="s">
        <v>3241</v>
      </c>
      <c r="JDE6" s="2888" t="s">
        <v>3241</v>
      </c>
      <c r="JDF6" s="2888" t="s">
        <v>3241</v>
      </c>
      <c r="JDG6" s="2888" t="s">
        <v>3241</v>
      </c>
      <c r="JDH6" s="2888" t="s">
        <v>3241</v>
      </c>
      <c r="JDI6" s="2888" t="s">
        <v>3241</v>
      </c>
      <c r="JDJ6" s="2888" t="s">
        <v>3241</v>
      </c>
      <c r="JDK6" s="2888" t="s">
        <v>3241</v>
      </c>
      <c r="JDL6" s="2888" t="s">
        <v>3241</v>
      </c>
      <c r="JDM6" s="2888" t="s">
        <v>3241</v>
      </c>
      <c r="JDN6" s="2888" t="s">
        <v>3241</v>
      </c>
      <c r="JDO6" s="2888" t="s">
        <v>3241</v>
      </c>
      <c r="JDP6" s="2888" t="s">
        <v>3241</v>
      </c>
      <c r="JDQ6" s="2888" t="s">
        <v>3241</v>
      </c>
      <c r="JDR6" s="2888" t="s">
        <v>3241</v>
      </c>
      <c r="JDS6" s="2888" t="s">
        <v>3241</v>
      </c>
      <c r="JDT6" s="2888" t="s">
        <v>3241</v>
      </c>
      <c r="JDU6" s="2888" t="s">
        <v>3241</v>
      </c>
      <c r="JDV6" s="2888" t="s">
        <v>3241</v>
      </c>
      <c r="JDW6" s="2888" t="s">
        <v>3241</v>
      </c>
      <c r="JDX6" s="2888" t="s">
        <v>3241</v>
      </c>
      <c r="JDY6" s="2888" t="s">
        <v>3241</v>
      </c>
      <c r="JDZ6" s="2888" t="s">
        <v>3241</v>
      </c>
      <c r="JEA6" s="2888" t="s">
        <v>3241</v>
      </c>
      <c r="JEB6" s="2888" t="s">
        <v>3241</v>
      </c>
      <c r="JEC6" s="2888" t="s">
        <v>3241</v>
      </c>
      <c r="JED6" s="2888" t="s">
        <v>3241</v>
      </c>
      <c r="JEE6" s="2888" t="s">
        <v>3241</v>
      </c>
      <c r="JEF6" s="2888" t="s">
        <v>3241</v>
      </c>
      <c r="JEG6" s="2888" t="s">
        <v>3241</v>
      </c>
      <c r="JEH6" s="2888" t="s">
        <v>3241</v>
      </c>
      <c r="JEI6" s="2888" t="s">
        <v>3241</v>
      </c>
      <c r="JEJ6" s="2888" t="s">
        <v>3241</v>
      </c>
      <c r="JEK6" s="2888" t="s">
        <v>3241</v>
      </c>
      <c r="JEL6" s="2888" t="s">
        <v>3241</v>
      </c>
      <c r="JEM6" s="2888" t="s">
        <v>3241</v>
      </c>
      <c r="JEN6" s="2888" t="s">
        <v>3241</v>
      </c>
      <c r="JEO6" s="2888" t="s">
        <v>3241</v>
      </c>
      <c r="JEP6" s="2888" t="s">
        <v>3241</v>
      </c>
      <c r="JEQ6" s="2888" t="s">
        <v>3241</v>
      </c>
      <c r="JER6" s="2888" t="s">
        <v>3241</v>
      </c>
      <c r="JES6" s="2888" t="s">
        <v>3241</v>
      </c>
      <c r="JET6" s="2888" t="s">
        <v>3241</v>
      </c>
      <c r="JEU6" s="2888" t="s">
        <v>3241</v>
      </c>
      <c r="JEV6" s="2888" t="s">
        <v>3241</v>
      </c>
      <c r="JEW6" s="2888" t="s">
        <v>3241</v>
      </c>
      <c r="JEX6" s="2888" t="s">
        <v>3241</v>
      </c>
      <c r="JEY6" s="2888" t="s">
        <v>3241</v>
      </c>
      <c r="JEZ6" s="2888" t="s">
        <v>3241</v>
      </c>
      <c r="JFA6" s="2888" t="s">
        <v>3241</v>
      </c>
      <c r="JFB6" s="2888" t="s">
        <v>3241</v>
      </c>
      <c r="JFC6" s="2888" t="s">
        <v>3241</v>
      </c>
      <c r="JFD6" s="2888" t="s">
        <v>3241</v>
      </c>
      <c r="JFE6" s="2888" t="s">
        <v>3241</v>
      </c>
      <c r="JFF6" s="2888" t="s">
        <v>3241</v>
      </c>
      <c r="JFG6" s="2888" t="s">
        <v>3241</v>
      </c>
      <c r="JFH6" s="2888" t="s">
        <v>3241</v>
      </c>
      <c r="JFI6" s="2888" t="s">
        <v>3241</v>
      </c>
      <c r="JFJ6" s="2888" t="s">
        <v>3241</v>
      </c>
      <c r="JFK6" s="2888" t="s">
        <v>3241</v>
      </c>
      <c r="JFL6" s="2888" t="s">
        <v>3241</v>
      </c>
      <c r="JFM6" s="2888" t="s">
        <v>3241</v>
      </c>
      <c r="JFN6" s="2888" t="s">
        <v>3241</v>
      </c>
      <c r="JFO6" s="2888" t="s">
        <v>3241</v>
      </c>
      <c r="JFP6" s="2888" t="s">
        <v>3241</v>
      </c>
      <c r="JFQ6" s="2888" t="s">
        <v>3241</v>
      </c>
      <c r="JFR6" s="2888" t="s">
        <v>3241</v>
      </c>
      <c r="JFS6" s="2888" t="s">
        <v>3241</v>
      </c>
      <c r="JFT6" s="2888" t="s">
        <v>3241</v>
      </c>
      <c r="JFU6" s="2888" t="s">
        <v>3241</v>
      </c>
      <c r="JFV6" s="2888" t="s">
        <v>3241</v>
      </c>
      <c r="JFW6" s="2888" t="s">
        <v>3241</v>
      </c>
      <c r="JFX6" s="2888" t="s">
        <v>3241</v>
      </c>
      <c r="JFY6" s="2888" t="s">
        <v>3241</v>
      </c>
      <c r="JFZ6" s="2888" t="s">
        <v>3241</v>
      </c>
      <c r="JGA6" s="2888" t="s">
        <v>3241</v>
      </c>
      <c r="JGB6" s="2888" t="s">
        <v>3241</v>
      </c>
      <c r="JGC6" s="2888" t="s">
        <v>3241</v>
      </c>
      <c r="JGD6" s="2888" t="s">
        <v>3241</v>
      </c>
      <c r="JGE6" s="2888" t="s">
        <v>3241</v>
      </c>
      <c r="JGF6" s="2888" t="s">
        <v>3241</v>
      </c>
      <c r="JGG6" s="2888" t="s">
        <v>3241</v>
      </c>
      <c r="JGH6" s="2888" t="s">
        <v>3241</v>
      </c>
      <c r="JGI6" s="2888" t="s">
        <v>3241</v>
      </c>
      <c r="JGJ6" s="2888" t="s">
        <v>3241</v>
      </c>
      <c r="JGK6" s="2888" t="s">
        <v>3241</v>
      </c>
      <c r="JGL6" s="2888" t="s">
        <v>3241</v>
      </c>
      <c r="JGM6" s="2888" t="s">
        <v>3241</v>
      </c>
      <c r="JGN6" s="2888" t="s">
        <v>3241</v>
      </c>
      <c r="JGO6" s="2888" t="s">
        <v>3241</v>
      </c>
      <c r="JGP6" s="2888" t="s">
        <v>3241</v>
      </c>
      <c r="JGQ6" s="2888" t="s">
        <v>3241</v>
      </c>
      <c r="JGR6" s="2888" t="s">
        <v>3241</v>
      </c>
      <c r="JGS6" s="2888" t="s">
        <v>3241</v>
      </c>
      <c r="JGT6" s="2888" t="s">
        <v>3241</v>
      </c>
      <c r="JGU6" s="2888" t="s">
        <v>3241</v>
      </c>
      <c r="JGV6" s="2888" t="s">
        <v>3241</v>
      </c>
      <c r="JGW6" s="2888" t="s">
        <v>3241</v>
      </c>
      <c r="JGX6" s="2888" t="s">
        <v>3241</v>
      </c>
      <c r="JGY6" s="2888" t="s">
        <v>3241</v>
      </c>
      <c r="JGZ6" s="2888" t="s">
        <v>3241</v>
      </c>
      <c r="JHA6" s="2888" t="s">
        <v>3241</v>
      </c>
      <c r="JHB6" s="2888" t="s">
        <v>3241</v>
      </c>
      <c r="JHC6" s="2888" t="s">
        <v>3241</v>
      </c>
      <c r="JHD6" s="2888" t="s">
        <v>3241</v>
      </c>
      <c r="JHE6" s="2888" t="s">
        <v>3241</v>
      </c>
      <c r="JHF6" s="2888" t="s">
        <v>3241</v>
      </c>
      <c r="JHG6" s="2888" t="s">
        <v>3241</v>
      </c>
      <c r="JHH6" s="2888" t="s">
        <v>3241</v>
      </c>
      <c r="JHI6" s="2888" t="s">
        <v>3241</v>
      </c>
      <c r="JHJ6" s="2888" t="s">
        <v>3241</v>
      </c>
      <c r="JHK6" s="2888" t="s">
        <v>3241</v>
      </c>
      <c r="JHL6" s="2888" t="s">
        <v>3241</v>
      </c>
      <c r="JHM6" s="2888" t="s">
        <v>3241</v>
      </c>
      <c r="JHN6" s="2888" t="s">
        <v>3241</v>
      </c>
      <c r="JHO6" s="2888" t="s">
        <v>3241</v>
      </c>
      <c r="JHP6" s="2888" t="s">
        <v>3241</v>
      </c>
      <c r="JHQ6" s="2888" t="s">
        <v>3241</v>
      </c>
      <c r="JHR6" s="2888" t="s">
        <v>3241</v>
      </c>
      <c r="JHS6" s="2888" t="s">
        <v>3241</v>
      </c>
      <c r="JHT6" s="2888" t="s">
        <v>3241</v>
      </c>
      <c r="JHU6" s="2888" t="s">
        <v>3241</v>
      </c>
      <c r="JHV6" s="2888" t="s">
        <v>3241</v>
      </c>
      <c r="JHW6" s="2888" t="s">
        <v>3241</v>
      </c>
      <c r="JHX6" s="2888" t="s">
        <v>3241</v>
      </c>
      <c r="JHY6" s="2888" t="s">
        <v>3241</v>
      </c>
      <c r="JHZ6" s="2888" t="s">
        <v>3241</v>
      </c>
      <c r="JIA6" s="2888" t="s">
        <v>3241</v>
      </c>
      <c r="JIB6" s="2888" t="s">
        <v>3241</v>
      </c>
      <c r="JIC6" s="2888" t="s">
        <v>3241</v>
      </c>
      <c r="JID6" s="2888" t="s">
        <v>3241</v>
      </c>
      <c r="JIE6" s="2888" t="s">
        <v>3241</v>
      </c>
      <c r="JIF6" s="2888" t="s">
        <v>3241</v>
      </c>
      <c r="JIG6" s="2888" t="s">
        <v>3241</v>
      </c>
      <c r="JIH6" s="2888" t="s">
        <v>3241</v>
      </c>
      <c r="JII6" s="2888" t="s">
        <v>3241</v>
      </c>
      <c r="JIJ6" s="2888" t="s">
        <v>3241</v>
      </c>
      <c r="JIK6" s="2888" t="s">
        <v>3241</v>
      </c>
      <c r="JIL6" s="2888" t="s">
        <v>3241</v>
      </c>
      <c r="JIM6" s="2888" t="s">
        <v>3241</v>
      </c>
      <c r="JIN6" s="2888" t="s">
        <v>3241</v>
      </c>
      <c r="JIO6" s="2888" t="s">
        <v>3241</v>
      </c>
      <c r="JIP6" s="2888" t="s">
        <v>3241</v>
      </c>
      <c r="JIQ6" s="2888" t="s">
        <v>3241</v>
      </c>
      <c r="JIR6" s="2888" t="s">
        <v>3241</v>
      </c>
      <c r="JIS6" s="2888" t="s">
        <v>3241</v>
      </c>
      <c r="JIT6" s="2888" t="s">
        <v>3241</v>
      </c>
      <c r="JIU6" s="2888" t="s">
        <v>3241</v>
      </c>
      <c r="JIV6" s="2888" t="s">
        <v>3241</v>
      </c>
      <c r="JIW6" s="2888" t="s">
        <v>3241</v>
      </c>
      <c r="JIX6" s="2888" t="s">
        <v>3241</v>
      </c>
      <c r="JIY6" s="2888" t="s">
        <v>3241</v>
      </c>
      <c r="JIZ6" s="2888" t="s">
        <v>3241</v>
      </c>
      <c r="JJA6" s="2888" t="s">
        <v>3241</v>
      </c>
      <c r="JJB6" s="2888" t="s">
        <v>3241</v>
      </c>
      <c r="JJC6" s="2888" t="s">
        <v>3241</v>
      </c>
      <c r="JJD6" s="2888" t="s">
        <v>3241</v>
      </c>
      <c r="JJE6" s="2888" t="s">
        <v>3241</v>
      </c>
      <c r="JJF6" s="2888" t="s">
        <v>3241</v>
      </c>
      <c r="JJG6" s="2888" t="s">
        <v>3241</v>
      </c>
      <c r="JJH6" s="2888" t="s">
        <v>3241</v>
      </c>
      <c r="JJI6" s="2888" t="s">
        <v>3241</v>
      </c>
      <c r="JJJ6" s="2888" t="s">
        <v>3241</v>
      </c>
      <c r="JJK6" s="2888" t="s">
        <v>3241</v>
      </c>
      <c r="JJL6" s="2888" t="s">
        <v>3241</v>
      </c>
      <c r="JJM6" s="2888" t="s">
        <v>3241</v>
      </c>
      <c r="JJN6" s="2888" t="s">
        <v>3241</v>
      </c>
      <c r="JJO6" s="2888" t="s">
        <v>3241</v>
      </c>
      <c r="JJP6" s="2888" t="s">
        <v>3241</v>
      </c>
      <c r="JJQ6" s="2888" t="s">
        <v>3241</v>
      </c>
      <c r="JJR6" s="2888" t="s">
        <v>3241</v>
      </c>
      <c r="JJS6" s="2888" t="s">
        <v>3241</v>
      </c>
      <c r="JJT6" s="2888" t="s">
        <v>3241</v>
      </c>
      <c r="JJU6" s="2888" t="s">
        <v>3241</v>
      </c>
      <c r="JJV6" s="2888" t="s">
        <v>3241</v>
      </c>
      <c r="JJW6" s="2888" t="s">
        <v>3241</v>
      </c>
      <c r="JJX6" s="2888" t="s">
        <v>3241</v>
      </c>
      <c r="JJY6" s="2888" t="s">
        <v>3241</v>
      </c>
      <c r="JJZ6" s="2888" t="s">
        <v>3241</v>
      </c>
      <c r="JKA6" s="2888" t="s">
        <v>3241</v>
      </c>
      <c r="JKB6" s="2888" t="s">
        <v>3241</v>
      </c>
      <c r="JKC6" s="2888" t="s">
        <v>3241</v>
      </c>
      <c r="JKD6" s="2888" t="s">
        <v>3241</v>
      </c>
      <c r="JKE6" s="2888" t="s">
        <v>3241</v>
      </c>
      <c r="JKF6" s="2888" t="s">
        <v>3241</v>
      </c>
      <c r="JKG6" s="2888" t="s">
        <v>3241</v>
      </c>
      <c r="JKH6" s="2888" t="s">
        <v>3241</v>
      </c>
      <c r="JKI6" s="2888" t="s">
        <v>3241</v>
      </c>
      <c r="JKJ6" s="2888" t="s">
        <v>3241</v>
      </c>
      <c r="JKK6" s="2888" t="s">
        <v>3241</v>
      </c>
      <c r="JKL6" s="2888" t="s">
        <v>3241</v>
      </c>
      <c r="JKM6" s="2888" t="s">
        <v>3241</v>
      </c>
      <c r="JKN6" s="2888" t="s">
        <v>3241</v>
      </c>
      <c r="JKO6" s="2888" t="s">
        <v>3241</v>
      </c>
      <c r="JKP6" s="2888" t="s">
        <v>3241</v>
      </c>
      <c r="JKQ6" s="2888" t="s">
        <v>3241</v>
      </c>
      <c r="JKR6" s="2888" t="s">
        <v>3241</v>
      </c>
      <c r="JKS6" s="2888" t="s">
        <v>3241</v>
      </c>
      <c r="JKT6" s="2888" t="s">
        <v>3241</v>
      </c>
      <c r="JKU6" s="2888" t="s">
        <v>3241</v>
      </c>
      <c r="JKV6" s="2888" t="s">
        <v>3241</v>
      </c>
      <c r="JKW6" s="2888" t="s">
        <v>3241</v>
      </c>
      <c r="JKX6" s="2888" t="s">
        <v>3241</v>
      </c>
      <c r="JKY6" s="2888" t="s">
        <v>3241</v>
      </c>
      <c r="JKZ6" s="2888" t="s">
        <v>3241</v>
      </c>
      <c r="JLA6" s="2888" t="s">
        <v>3241</v>
      </c>
      <c r="JLB6" s="2888" t="s">
        <v>3241</v>
      </c>
      <c r="JLC6" s="2888" t="s">
        <v>3241</v>
      </c>
      <c r="JLD6" s="2888" t="s">
        <v>3241</v>
      </c>
      <c r="JLE6" s="2888" t="s">
        <v>3241</v>
      </c>
      <c r="JLF6" s="2888" t="s">
        <v>3241</v>
      </c>
      <c r="JLG6" s="2888" t="s">
        <v>3241</v>
      </c>
      <c r="JLH6" s="2888" t="s">
        <v>3241</v>
      </c>
      <c r="JLI6" s="2888" t="s">
        <v>3241</v>
      </c>
      <c r="JLJ6" s="2888" t="s">
        <v>3241</v>
      </c>
      <c r="JLK6" s="2888" t="s">
        <v>3241</v>
      </c>
      <c r="JLL6" s="2888" t="s">
        <v>3241</v>
      </c>
      <c r="JLM6" s="2888" t="s">
        <v>3241</v>
      </c>
      <c r="JLN6" s="2888" t="s">
        <v>3241</v>
      </c>
      <c r="JLO6" s="2888" t="s">
        <v>3241</v>
      </c>
      <c r="JLP6" s="2888" t="s">
        <v>3241</v>
      </c>
      <c r="JLQ6" s="2888" t="s">
        <v>3241</v>
      </c>
      <c r="JLR6" s="2888" t="s">
        <v>3241</v>
      </c>
      <c r="JLS6" s="2888" t="s">
        <v>3241</v>
      </c>
      <c r="JLT6" s="2888" t="s">
        <v>3241</v>
      </c>
      <c r="JLU6" s="2888" t="s">
        <v>3241</v>
      </c>
      <c r="JLV6" s="2888" t="s">
        <v>3241</v>
      </c>
      <c r="JLW6" s="2888" t="s">
        <v>3241</v>
      </c>
      <c r="JLX6" s="2888" t="s">
        <v>3241</v>
      </c>
      <c r="JLY6" s="2888" t="s">
        <v>3241</v>
      </c>
      <c r="JLZ6" s="2888" t="s">
        <v>3241</v>
      </c>
      <c r="JMA6" s="2888" t="s">
        <v>3241</v>
      </c>
      <c r="JMB6" s="2888" t="s">
        <v>3241</v>
      </c>
      <c r="JMC6" s="2888" t="s">
        <v>3241</v>
      </c>
      <c r="JMD6" s="2888" t="s">
        <v>3241</v>
      </c>
      <c r="JME6" s="2888" t="s">
        <v>3241</v>
      </c>
      <c r="JMF6" s="2888" t="s">
        <v>3241</v>
      </c>
      <c r="JMG6" s="2888" t="s">
        <v>3241</v>
      </c>
      <c r="JMH6" s="2888" t="s">
        <v>3241</v>
      </c>
      <c r="JMI6" s="2888" t="s">
        <v>3241</v>
      </c>
      <c r="JMJ6" s="2888" t="s">
        <v>3241</v>
      </c>
      <c r="JMK6" s="2888" t="s">
        <v>3241</v>
      </c>
      <c r="JML6" s="2888" t="s">
        <v>3241</v>
      </c>
      <c r="JMM6" s="2888" t="s">
        <v>3241</v>
      </c>
      <c r="JMN6" s="2888" t="s">
        <v>3241</v>
      </c>
      <c r="JMO6" s="2888" t="s">
        <v>3241</v>
      </c>
      <c r="JMP6" s="2888" t="s">
        <v>3241</v>
      </c>
      <c r="JMQ6" s="2888" t="s">
        <v>3241</v>
      </c>
      <c r="JMR6" s="2888" t="s">
        <v>3241</v>
      </c>
      <c r="JMS6" s="2888" t="s">
        <v>3241</v>
      </c>
      <c r="JMT6" s="2888" t="s">
        <v>3241</v>
      </c>
      <c r="JMU6" s="2888" t="s">
        <v>3241</v>
      </c>
      <c r="JMV6" s="2888" t="s">
        <v>3241</v>
      </c>
      <c r="JMW6" s="2888" t="s">
        <v>3241</v>
      </c>
      <c r="JMX6" s="2888" t="s">
        <v>3241</v>
      </c>
      <c r="JMY6" s="2888" t="s">
        <v>3241</v>
      </c>
      <c r="JMZ6" s="2888" t="s">
        <v>3241</v>
      </c>
      <c r="JNA6" s="2888" t="s">
        <v>3241</v>
      </c>
      <c r="JNB6" s="2888" t="s">
        <v>3241</v>
      </c>
      <c r="JNC6" s="2888" t="s">
        <v>3241</v>
      </c>
      <c r="JND6" s="2888" t="s">
        <v>3241</v>
      </c>
      <c r="JNE6" s="2888" t="s">
        <v>3241</v>
      </c>
      <c r="JNF6" s="2888" t="s">
        <v>3241</v>
      </c>
      <c r="JNG6" s="2888" t="s">
        <v>3241</v>
      </c>
      <c r="JNH6" s="2888" t="s">
        <v>3241</v>
      </c>
      <c r="JNI6" s="2888" t="s">
        <v>3241</v>
      </c>
      <c r="JNJ6" s="2888" t="s">
        <v>3241</v>
      </c>
      <c r="JNK6" s="2888" t="s">
        <v>3241</v>
      </c>
      <c r="JNL6" s="2888" t="s">
        <v>3241</v>
      </c>
      <c r="JNM6" s="2888" t="s">
        <v>3241</v>
      </c>
      <c r="JNN6" s="2888" t="s">
        <v>3241</v>
      </c>
      <c r="JNO6" s="2888" t="s">
        <v>3241</v>
      </c>
      <c r="JNP6" s="2888" t="s">
        <v>3241</v>
      </c>
      <c r="JNQ6" s="2888" t="s">
        <v>3241</v>
      </c>
      <c r="JNR6" s="2888" t="s">
        <v>3241</v>
      </c>
      <c r="JNS6" s="2888" t="s">
        <v>3241</v>
      </c>
      <c r="JNT6" s="2888" t="s">
        <v>3241</v>
      </c>
      <c r="JNU6" s="2888" t="s">
        <v>3241</v>
      </c>
      <c r="JNV6" s="2888" t="s">
        <v>3241</v>
      </c>
      <c r="JNW6" s="2888" t="s">
        <v>3241</v>
      </c>
      <c r="JNX6" s="2888" t="s">
        <v>3241</v>
      </c>
      <c r="JNY6" s="2888" t="s">
        <v>3241</v>
      </c>
      <c r="JNZ6" s="2888" t="s">
        <v>3241</v>
      </c>
      <c r="JOA6" s="2888" t="s">
        <v>3241</v>
      </c>
      <c r="JOB6" s="2888" t="s">
        <v>3241</v>
      </c>
      <c r="JOC6" s="2888" t="s">
        <v>3241</v>
      </c>
      <c r="JOD6" s="2888" t="s">
        <v>3241</v>
      </c>
      <c r="JOE6" s="2888" t="s">
        <v>3241</v>
      </c>
      <c r="JOF6" s="2888" t="s">
        <v>3241</v>
      </c>
      <c r="JOG6" s="2888" t="s">
        <v>3241</v>
      </c>
      <c r="JOH6" s="2888" t="s">
        <v>3241</v>
      </c>
      <c r="JOI6" s="2888" t="s">
        <v>3241</v>
      </c>
      <c r="JOJ6" s="2888" t="s">
        <v>3241</v>
      </c>
      <c r="JOK6" s="2888" t="s">
        <v>3241</v>
      </c>
      <c r="JOL6" s="2888" t="s">
        <v>3241</v>
      </c>
      <c r="JOM6" s="2888" t="s">
        <v>3241</v>
      </c>
      <c r="JON6" s="2888" t="s">
        <v>3241</v>
      </c>
      <c r="JOO6" s="2888" t="s">
        <v>3241</v>
      </c>
      <c r="JOP6" s="2888" t="s">
        <v>3241</v>
      </c>
      <c r="JOQ6" s="2888" t="s">
        <v>3241</v>
      </c>
      <c r="JOR6" s="2888" t="s">
        <v>3241</v>
      </c>
      <c r="JOS6" s="2888" t="s">
        <v>3241</v>
      </c>
      <c r="JOT6" s="2888" t="s">
        <v>3241</v>
      </c>
      <c r="JOU6" s="2888" t="s">
        <v>3241</v>
      </c>
      <c r="JOV6" s="2888" t="s">
        <v>3241</v>
      </c>
      <c r="JOW6" s="2888" t="s">
        <v>3241</v>
      </c>
      <c r="JOX6" s="2888" t="s">
        <v>3241</v>
      </c>
      <c r="JOY6" s="2888" t="s">
        <v>3241</v>
      </c>
      <c r="JOZ6" s="2888" t="s">
        <v>3241</v>
      </c>
      <c r="JPA6" s="2888" t="s">
        <v>3241</v>
      </c>
      <c r="JPB6" s="2888" t="s">
        <v>3241</v>
      </c>
      <c r="JPC6" s="2888" t="s">
        <v>3241</v>
      </c>
      <c r="JPD6" s="2888" t="s">
        <v>3241</v>
      </c>
      <c r="JPE6" s="2888" t="s">
        <v>3241</v>
      </c>
      <c r="JPF6" s="2888" t="s">
        <v>3241</v>
      </c>
      <c r="JPG6" s="2888" t="s">
        <v>3241</v>
      </c>
      <c r="JPH6" s="2888" t="s">
        <v>3241</v>
      </c>
      <c r="JPI6" s="2888" t="s">
        <v>3241</v>
      </c>
      <c r="JPJ6" s="2888" t="s">
        <v>3241</v>
      </c>
      <c r="JPK6" s="2888" t="s">
        <v>3241</v>
      </c>
      <c r="JPL6" s="2888" t="s">
        <v>3241</v>
      </c>
      <c r="JPM6" s="2888" t="s">
        <v>3241</v>
      </c>
      <c r="JPN6" s="2888" t="s">
        <v>3241</v>
      </c>
      <c r="JPO6" s="2888" t="s">
        <v>3241</v>
      </c>
      <c r="JPP6" s="2888" t="s">
        <v>3241</v>
      </c>
      <c r="JPQ6" s="2888" t="s">
        <v>3241</v>
      </c>
      <c r="JPR6" s="2888" t="s">
        <v>3241</v>
      </c>
      <c r="JPS6" s="2888" t="s">
        <v>3241</v>
      </c>
      <c r="JPT6" s="2888" t="s">
        <v>3241</v>
      </c>
      <c r="JPU6" s="2888" t="s">
        <v>3241</v>
      </c>
      <c r="JPV6" s="2888" t="s">
        <v>3241</v>
      </c>
      <c r="JPW6" s="2888" t="s">
        <v>3241</v>
      </c>
      <c r="JPX6" s="2888" t="s">
        <v>3241</v>
      </c>
      <c r="JPY6" s="2888" t="s">
        <v>3241</v>
      </c>
      <c r="JPZ6" s="2888" t="s">
        <v>3241</v>
      </c>
      <c r="JQA6" s="2888" t="s">
        <v>3241</v>
      </c>
      <c r="JQB6" s="2888" t="s">
        <v>3241</v>
      </c>
      <c r="JQC6" s="2888" t="s">
        <v>3241</v>
      </c>
      <c r="JQD6" s="2888" t="s">
        <v>3241</v>
      </c>
      <c r="JQE6" s="2888" t="s">
        <v>3241</v>
      </c>
      <c r="JQF6" s="2888" t="s">
        <v>3241</v>
      </c>
      <c r="JQG6" s="2888" t="s">
        <v>3241</v>
      </c>
      <c r="JQH6" s="2888" t="s">
        <v>3241</v>
      </c>
      <c r="JQI6" s="2888" t="s">
        <v>3241</v>
      </c>
      <c r="JQJ6" s="2888" t="s">
        <v>3241</v>
      </c>
      <c r="JQK6" s="2888" t="s">
        <v>3241</v>
      </c>
      <c r="JQL6" s="2888" t="s">
        <v>3241</v>
      </c>
      <c r="JQM6" s="2888" t="s">
        <v>3241</v>
      </c>
      <c r="JQN6" s="2888" t="s">
        <v>3241</v>
      </c>
      <c r="JQO6" s="2888" t="s">
        <v>3241</v>
      </c>
      <c r="JQP6" s="2888" t="s">
        <v>3241</v>
      </c>
      <c r="JQQ6" s="2888" t="s">
        <v>3241</v>
      </c>
      <c r="JQR6" s="2888" t="s">
        <v>3241</v>
      </c>
      <c r="JQS6" s="2888" t="s">
        <v>3241</v>
      </c>
      <c r="JQT6" s="2888" t="s">
        <v>3241</v>
      </c>
      <c r="JQU6" s="2888" t="s">
        <v>3241</v>
      </c>
      <c r="JQV6" s="2888" t="s">
        <v>3241</v>
      </c>
      <c r="JQW6" s="2888" t="s">
        <v>3241</v>
      </c>
      <c r="JQX6" s="2888" t="s">
        <v>3241</v>
      </c>
      <c r="JQY6" s="2888" t="s">
        <v>3241</v>
      </c>
      <c r="JQZ6" s="2888" t="s">
        <v>3241</v>
      </c>
      <c r="JRA6" s="2888" t="s">
        <v>3241</v>
      </c>
      <c r="JRB6" s="2888" t="s">
        <v>3241</v>
      </c>
      <c r="JRC6" s="2888" t="s">
        <v>3241</v>
      </c>
      <c r="JRD6" s="2888" t="s">
        <v>3241</v>
      </c>
      <c r="JRE6" s="2888" t="s">
        <v>3241</v>
      </c>
      <c r="JRF6" s="2888" t="s">
        <v>3241</v>
      </c>
      <c r="JRG6" s="2888" t="s">
        <v>3241</v>
      </c>
      <c r="JRH6" s="2888" t="s">
        <v>3241</v>
      </c>
      <c r="JRI6" s="2888" t="s">
        <v>3241</v>
      </c>
      <c r="JRJ6" s="2888" t="s">
        <v>3241</v>
      </c>
      <c r="JRK6" s="2888" t="s">
        <v>3241</v>
      </c>
      <c r="JRL6" s="2888" t="s">
        <v>3241</v>
      </c>
      <c r="JRM6" s="2888" t="s">
        <v>3241</v>
      </c>
      <c r="JRN6" s="2888" t="s">
        <v>3241</v>
      </c>
      <c r="JRO6" s="2888" t="s">
        <v>3241</v>
      </c>
      <c r="JRP6" s="2888" t="s">
        <v>3241</v>
      </c>
      <c r="JRQ6" s="2888" t="s">
        <v>3241</v>
      </c>
      <c r="JRR6" s="2888" t="s">
        <v>3241</v>
      </c>
      <c r="JRS6" s="2888" t="s">
        <v>3241</v>
      </c>
      <c r="JRT6" s="2888" t="s">
        <v>3241</v>
      </c>
      <c r="JRU6" s="2888" t="s">
        <v>3241</v>
      </c>
      <c r="JRV6" s="2888" t="s">
        <v>3241</v>
      </c>
      <c r="JRW6" s="2888" t="s">
        <v>3241</v>
      </c>
      <c r="JRX6" s="2888" t="s">
        <v>3241</v>
      </c>
      <c r="JRY6" s="2888" t="s">
        <v>3241</v>
      </c>
      <c r="JRZ6" s="2888" t="s">
        <v>3241</v>
      </c>
      <c r="JSA6" s="2888" t="s">
        <v>3241</v>
      </c>
      <c r="JSB6" s="2888" t="s">
        <v>3241</v>
      </c>
      <c r="JSC6" s="2888" t="s">
        <v>3241</v>
      </c>
      <c r="JSD6" s="2888" t="s">
        <v>3241</v>
      </c>
      <c r="JSE6" s="2888" t="s">
        <v>3241</v>
      </c>
      <c r="JSF6" s="2888" t="s">
        <v>3241</v>
      </c>
      <c r="JSG6" s="2888" t="s">
        <v>3241</v>
      </c>
      <c r="JSH6" s="2888" t="s">
        <v>3241</v>
      </c>
      <c r="JSI6" s="2888" t="s">
        <v>3241</v>
      </c>
      <c r="JSJ6" s="2888" t="s">
        <v>3241</v>
      </c>
      <c r="JSK6" s="2888" t="s">
        <v>3241</v>
      </c>
      <c r="JSL6" s="2888" t="s">
        <v>3241</v>
      </c>
      <c r="JSM6" s="2888" t="s">
        <v>3241</v>
      </c>
      <c r="JSN6" s="2888" t="s">
        <v>3241</v>
      </c>
      <c r="JSO6" s="2888" t="s">
        <v>3241</v>
      </c>
      <c r="JSP6" s="2888" t="s">
        <v>3241</v>
      </c>
      <c r="JSQ6" s="2888" t="s">
        <v>3241</v>
      </c>
      <c r="JSR6" s="2888" t="s">
        <v>3241</v>
      </c>
      <c r="JSS6" s="2888" t="s">
        <v>3241</v>
      </c>
      <c r="JST6" s="2888" t="s">
        <v>3241</v>
      </c>
      <c r="JSU6" s="2888" t="s">
        <v>3241</v>
      </c>
      <c r="JSV6" s="2888" t="s">
        <v>3241</v>
      </c>
      <c r="JSW6" s="2888" t="s">
        <v>3241</v>
      </c>
      <c r="JSX6" s="2888" t="s">
        <v>3241</v>
      </c>
      <c r="JSY6" s="2888" t="s">
        <v>3241</v>
      </c>
      <c r="JSZ6" s="2888" t="s">
        <v>3241</v>
      </c>
      <c r="JTA6" s="2888" t="s">
        <v>3241</v>
      </c>
      <c r="JTB6" s="2888" t="s">
        <v>3241</v>
      </c>
      <c r="JTC6" s="2888" t="s">
        <v>3241</v>
      </c>
      <c r="JTD6" s="2888" t="s">
        <v>3241</v>
      </c>
      <c r="JTE6" s="2888" t="s">
        <v>3241</v>
      </c>
      <c r="JTF6" s="2888" t="s">
        <v>3241</v>
      </c>
      <c r="JTG6" s="2888" t="s">
        <v>3241</v>
      </c>
      <c r="JTH6" s="2888" t="s">
        <v>3241</v>
      </c>
      <c r="JTI6" s="2888" t="s">
        <v>3241</v>
      </c>
      <c r="JTJ6" s="2888" t="s">
        <v>3241</v>
      </c>
      <c r="JTK6" s="2888" t="s">
        <v>3241</v>
      </c>
      <c r="JTL6" s="2888" t="s">
        <v>3241</v>
      </c>
      <c r="JTM6" s="2888" t="s">
        <v>3241</v>
      </c>
      <c r="JTN6" s="2888" t="s">
        <v>3241</v>
      </c>
      <c r="JTO6" s="2888" t="s">
        <v>3241</v>
      </c>
      <c r="JTP6" s="2888" t="s">
        <v>3241</v>
      </c>
      <c r="JTQ6" s="2888" t="s">
        <v>3241</v>
      </c>
      <c r="JTR6" s="2888" t="s">
        <v>3241</v>
      </c>
      <c r="JTS6" s="2888" t="s">
        <v>3241</v>
      </c>
      <c r="JTT6" s="2888" t="s">
        <v>3241</v>
      </c>
      <c r="JTU6" s="2888" t="s">
        <v>3241</v>
      </c>
      <c r="JTV6" s="2888" t="s">
        <v>3241</v>
      </c>
      <c r="JTW6" s="2888" t="s">
        <v>3241</v>
      </c>
      <c r="JTX6" s="2888" t="s">
        <v>3241</v>
      </c>
      <c r="JTY6" s="2888" t="s">
        <v>3241</v>
      </c>
      <c r="JTZ6" s="2888" t="s">
        <v>3241</v>
      </c>
      <c r="JUA6" s="2888" t="s">
        <v>3241</v>
      </c>
      <c r="JUB6" s="2888" t="s">
        <v>3241</v>
      </c>
      <c r="JUC6" s="2888" t="s">
        <v>3241</v>
      </c>
      <c r="JUD6" s="2888" t="s">
        <v>3241</v>
      </c>
      <c r="JUE6" s="2888" t="s">
        <v>3241</v>
      </c>
      <c r="JUF6" s="2888" t="s">
        <v>3241</v>
      </c>
      <c r="JUG6" s="2888" t="s">
        <v>3241</v>
      </c>
      <c r="JUH6" s="2888" t="s">
        <v>3241</v>
      </c>
      <c r="JUI6" s="2888" t="s">
        <v>3241</v>
      </c>
      <c r="JUJ6" s="2888" t="s">
        <v>3241</v>
      </c>
      <c r="JUK6" s="2888" t="s">
        <v>3241</v>
      </c>
      <c r="JUL6" s="2888" t="s">
        <v>3241</v>
      </c>
      <c r="JUM6" s="2888" t="s">
        <v>3241</v>
      </c>
      <c r="JUN6" s="2888" t="s">
        <v>3241</v>
      </c>
      <c r="JUO6" s="2888" t="s">
        <v>3241</v>
      </c>
      <c r="JUP6" s="2888" t="s">
        <v>3241</v>
      </c>
      <c r="JUQ6" s="2888" t="s">
        <v>3241</v>
      </c>
      <c r="JUR6" s="2888" t="s">
        <v>3241</v>
      </c>
      <c r="JUS6" s="2888" t="s">
        <v>3241</v>
      </c>
      <c r="JUT6" s="2888" t="s">
        <v>3241</v>
      </c>
      <c r="JUU6" s="2888" t="s">
        <v>3241</v>
      </c>
      <c r="JUV6" s="2888" t="s">
        <v>3241</v>
      </c>
      <c r="JUW6" s="2888" t="s">
        <v>3241</v>
      </c>
      <c r="JUX6" s="2888" t="s">
        <v>3241</v>
      </c>
      <c r="JUY6" s="2888" t="s">
        <v>3241</v>
      </c>
      <c r="JUZ6" s="2888" t="s">
        <v>3241</v>
      </c>
      <c r="JVA6" s="2888" t="s">
        <v>3241</v>
      </c>
      <c r="JVB6" s="2888" t="s">
        <v>3241</v>
      </c>
      <c r="JVC6" s="2888" t="s">
        <v>3241</v>
      </c>
      <c r="JVD6" s="2888" t="s">
        <v>3241</v>
      </c>
      <c r="JVE6" s="2888" t="s">
        <v>3241</v>
      </c>
      <c r="JVF6" s="2888" t="s">
        <v>3241</v>
      </c>
      <c r="JVG6" s="2888" t="s">
        <v>3241</v>
      </c>
      <c r="JVH6" s="2888" t="s">
        <v>3241</v>
      </c>
      <c r="JVI6" s="2888" t="s">
        <v>3241</v>
      </c>
      <c r="JVJ6" s="2888" t="s">
        <v>3241</v>
      </c>
      <c r="JVK6" s="2888" t="s">
        <v>3241</v>
      </c>
      <c r="JVL6" s="2888" t="s">
        <v>3241</v>
      </c>
      <c r="JVM6" s="2888" t="s">
        <v>3241</v>
      </c>
      <c r="JVN6" s="2888" t="s">
        <v>3241</v>
      </c>
      <c r="JVO6" s="2888" t="s">
        <v>3241</v>
      </c>
      <c r="JVP6" s="2888" t="s">
        <v>3241</v>
      </c>
      <c r="JVQ6" s="2888" t="s">
        <v>3241</v>
      </c>
      <c r="JVR6" s="2888" t="s">
        <v>3241</v>
      </c>
      <c r="JVS6" s="2888" t="s">
        <v>3241</v>
      </c>
      <c r="JVT6" s="2888" t="s">
        <v>3241</v>
      </c>
      <c r="JVU6" s="2888" t="s">
        <v>3241</v>
      </c>
      <c r="JVV6" s="2888" t="s">
        <v>3241</v>
      </c>
      <c r="JVW6" s="2888" t="s">
        <v>3241</v>
      </c>
      <c r="JVX6" s="2888" t="s">
        <v>3241</v>
      </c>
      <c r="JVY6" s="2888" t="s">
        <v>3241</v>
      </c>
      <c r="JVZ6" s="2888" t="s">
        <v>3241</v>
      </c>
      <c r="JWA6" s="2888" t="s">
        <v>3241</v>
      </c>
      <c r="JWB6" s="2888" t="s">
        <v>3241</v>
      </c>
      <c r="JWC6" s="2888" t="s">
        <v>3241</v>
      </c>
      <c r="JWD6" s="2888" t="s">
        <v>3241</v>
      </c>
      <c r="JWE6" s="2888" t="s">
        <v>3241</v>
      </c>
      <c r="JWF6" s="2888" t="s">
        <v>3241</v>
      </c>
      <c r="JWG6" s="2888" t="s">
        <v>3241</v>
      </c>
      <c r="JWH6" s="2888" t="s">
        <v>3241</v>
      </c>
      <c r="JWI6" s="2888" t="s">
        <v>3241</v>
      </c>
      <c r="JWJ6" s="2888" t="s">
        <v>3241</v>
      </c>
      <c r="JWK6" s="2888" t="s">
        <v>3241</v>
      </c>
      <c r="JWL6" s="2888" t="s">
        <v>3241</v>
      </c>
      <c r="JWM6" s="2888" t="s">
        <v>3241</v>
      </c>
      <c r="JWN6" s="2888" t="s">
        <v>3241</v>
      </c>
      <c r="JWO6" s="2888" t="s">
        <v>3241</v>
      </c>
      <c r="JWP6" s="2888" t="s">
        <v>3241</v>
      </c>
      <c r="JWQ6" s="2888" t="s">
        <v>3241</v>
      </c>
      <c r="JWR6" s="2888" t="s">
        <v>3241</v>
      </c>
      <c r="JWS6" s="2888" t="s">
        <v>3241</v>
      </c>
      <c r="JWT6" s="2888" t="s">
        <v>3241</v>
      </c>
      <c r="JWU6" s="2888" t="s">
        <v>3241</v>
      </c>
      <c r="JWV6" s="2888" t="s">
        <v>3241</v>
      </c>
      <c r="JWW6" s="2888" t="s">
        <v>3241</v>
      </c>
      <c r="JWX6" s="2888" t="s">
        <v>3241</v>
      </c>
      <c r="JWY6" s="2888" t="s">
        <v>3241</v>
      </c>
      <c r="JWZ6" s="2888" t="s">
        <v>3241</v>
      </c>
      <c r="JXA6" s="2888" t="s">
        <v>3241</v>
      </c>
      <c r="JXB6" s="2888" t="s">
        <v>3241</v>
      </c>
      <c r="JXC6" s="2888" t="s">
        <v>3241</v>
      </c>
      <c r="JXD6" s="2888" t="s">
        <v>3241</v>
      </c>
      <c r="JXE6" s="2888" t="s">
        <v>3241</v>
      </c>
      <c r="JXF6" s="2888" t="s">
        <v>3241</v>
      </c>
      <c r="JXG6" s="2888" t="s">
        <v>3241</v>
      </c>
      <c r="JXH6" s="2888" t="s">
        <v>3241</v>
      </c>
      <c r="JXI6" s="2888" t="s">
        <v>3241</v>
      </c>
      <c r="JXJ6" s="2888" t="s">
        <v>3241</v>
      </c>
      <c r="JXK6" s="2888" t="s">
        <v>3241</v>
      </c>
      <c r="JXL6" s="2888" t="s">
        <v>3241</v>
      </c>
      <c r="JXM6" s="2888" t="s">
        <v>3241</v>
      </c>
      <c r="JXN6" s="2888" t="s">
        <v>3241</v>
      </c>
      <c r="JXO6" s="2888" t="s">
        <v>3241</v>
      </c>
      <c r="JXP6" s="2888" t="s">
        <v>3241</v>
      </c>
      <c r="JXQ6" s="2888" t="s">
        <v>3241</v>
      </c>
      <c r="JXR6" s="2888" t="s">
        <v>3241</v>
      </c>
      <c r="JXS6" s="2888" t="s">
        <v>3241</v>
      </c>
      <c r="JXT6" s="2888" t="s">
        <v>3241</v>
      </c>
      <c r="JXU6" s="2888" t="s">
        <v>3241</v>
      </c>
      <c r="JXV6" s="2888" t="s">
        <v>3241</v>
      </c>
      <c r="JXW6" s="2888" t="s">
        <v>3241</v>
      </c>
      <c r="JXX6" s="2888" t="s">
        <v>3241</v>
      </c>
      <c r="JXY6" s="2888" t="s">
        <v>3241</v>
      </c>
      <c r="JXZ6" s="2888" t="s">
        <v>3241</v>
      </c>
      <c r="JYA6" s="2888" t="s">
        <v>3241</v>
      </c>
      <c r="JYB6" s="2888" t="s">
        <v>3241</v>
      </c>
      <c r="JYC6" s="2888" t="s">
        <v>3241</v>
      </c>
      <c r="JYD6" s="2888" t="s">
        <v>3241</v>
      </c>
      <c r="JYE6" s="2888" t="s">
        <v>3241</v>
      </c>
      <c r="JYF6" s="2888" t="s">
        <v>3241</v>
      </c>
      <c r="JYG6" s="2888" t="s">
        <v>3241</v>
      </c>
      <c r="JYH6" s="2888" t="s">
        <v>3241</v>
      </c>
      <c r="JYI6" s="2888" t="s">
        <v>3241</v>
      </c>
      <c r="JYJ6" s="2888" t="s">
        <v>3241</v>
      </c>
      <c r="JYK6" s="2888" t="s">
        <v>3241</v>
      </c>
      <c r="JYL6" s="2888" t="s">
        <v>3241</v>
      </c>
      <c r="JYM6" s="2888" t="s">
        <v>3241</v>
      </c>
      <c r="JYN6" s="2888" t="s">
        <v>3241</v>
      </c>
      <c r="JYO6" s="2888" t="s">
        <v>3241</v>
      </c>
      <c r="JYP6" s="2888" t="s">
        <v>3241</v>
      </c>
      <c r="JYQ6" s="2888" t="s">
        <v>3241</v>
      </c>
      <c r="JYR6" s="2888" t="s">
        <v>3241</v>
      </c>
      <c r="JYS6" s="2888" t="s">
        <v>3241</v>
      </c>
      <c r="JYT6" s="2888" t="s">
        <v>3241</v>
      </c>
      <c r="JYU6" s="2888" t="s">
        <v>3241</v>
      </c>
      <c r="JYV6" s="2888" t="s">
        <v>3241</v>
      </c>
      <c r="JYW6" s="2888" t="s">
        <v>3241</v>
      </c>
      <c r="JYX6" s="2888" t="s">
        <v>3241</v>
      </c>
      <c r="JYY6" s="2888" t="s">
        <v>3241</v>
      </c>
      <c r="JYZ6" s="2888" t="s">
        <v>3241</v>
      </c>
      <c r="JZA6" s="2888" t="s">
        <v>3241</v>
      </c>
      <c r="JZB6" s="2888" t="s">
        <v>3241</v>
      </c>
      <c r="JZC6" s="2888" t="s">
        <v>3241</v>
      </c>
      <c r="JZD6" s="2888" t="s">
        <v>3241</v>
      </c>
      <c r="JZE6" s="2888" t="s">
        <v>3241</v>
      </c>
      <c r="JZF6" s="2888" t="s">
        <v>3241</v>
      </c>
      <c r="JZG6" s="2888" t="s">
        <v>3241</v>
      </c>
      <c r="JZH6" s="2888" t="s">
        <v>3241</v>
      </c>
      <c r="JZI6" s="2888" t="s">
        <v>3241</v>
      </c>
      <c r="JZJ6" s="2888" t="s">
        <v>3241</v>
      </c>
      <c r="JZK6" s="2888" t="s">
        <v>3241</v>
      </c>
      <c r="JZL6" s="2888" t="s">
        <v>3241</v>
      </c>
      <c r="JZM6" s="2888" t="s">
        <v>3241</v>
      </c>
      <c r="JZN6" s="2888" t="s">
        <v>3241</v>
      </c>
      <c r="JZO6" s="2888" t="s">
        <v>3241</v>
      </c>
      <c r="JZP6" s="2888" t="s">
        <v>3241</v>
      </c>
      <c r="JZQ6" s="2888" t="s">
        <v>3241</v>
      </c>
      <c r="JZR6" s="2888" t="s">
        <v>3241</v>
      </c>
      <c r="JZS6" s="2888" t="s">
        <v>3241</v>
      </c>
      <c r="JZT6" s="2888" t="s">
        <v>3241</v>
      </c>
      <c r="JZU6" s="2888" t="s">
        <v>3241</v>
      </c>
      <c r="JZV6" s="2888" t="s">
        <v>3241</v>
      </c>
      <c r="JZW6" s="2888" t="s">
        <v>3241</v>
      </c>
      <c r="JZX6" s="2888" t="s">
        <v>3241</v>
      </c>
      <c r="JZY6" s="2888" t="s">
        <v>3241</v>
      </c>
      <c r="JZZ6" s="2888" t="s">
        <v>3241</v>
      </c>
      <c r="KAA6" s="2888" t="s">
        <v>3241</v>
      </c>
      <c r="KAB6" s="2888" t="s">
        <v>3241</v>
      </c>
      <c r="KAC6" s="2888" t="s">
        <v>3241</v>
      </c>
      <c r="KAD6" s="2888" t="s">
        <v>3241</v>
      </c>
      <c r="KAE6" s="2888" t="s">
        <v>3241</v>
      </c>
      <c r="KAF6" s="2888" t="s">
        <v>3241</v>
      </c>
      <c r="KAG6" s="2888" t="s">
        <v>3241</v>
      </c>
      <c r="KAH6" s="2888" t="s">
        <v>3241</v>
      </c>
      <c r="KAI6" s="2888" t="s">
        <v>3241</v>
      </c>
      <c r="KAJ6" s="2888" t="s">
        <v>3241</v>
      </c>
      <c r="KAK6" s="2888" t="s">
        <v>3241</v>
      </c>
      <c r="KAL6" s="2888" t="s">
        <v>3241</v>
      </c>
      <c r="KAM6" s="2888" t="s">
        <v>3241</v>
      </c>
      <c r="KAN6" s="2888" t="s">
        <v>3241</v>
      </c>
      <c r="KAO6" s="2888" t="s">
        <v>3241</v>
      </c>
      <c r="KAP6" s="2888" t="s">
        <v>3241</v>
      </c>
      <c r="KAQ6" s="2888" t="s">
        <v>3241</v>
      </c>
      <c r="KAR6" s="2888" t="s">
        <v>3241</v>
      </c>
      <c r="KAS6" s="2888" t="s">
        <v>3241</v>
      </c>
      <c r="KAT6" s="2888" t="s">
        <v>3241</v>
      </c>
      <c r="KAU6" s="2888" t="s">
        <v>3241</v>
      </c>
      <c r="KAV6" s="2888" t="s">
        <v>3241</v>
      </c>
      <c r="KAW6" s="2888" t="s">
        <v>3241</v>
      </c>
      <c r="KAX6" s="2888" t="s">
        <v>3241</v>
      </c>
      <c r="KAY6" s="2888" t="s">
        <v>3241</v>
      </c>
      <c r="KAZ6" s="2888" t="s">
        <v>3241</v>
      </c>
      <c r="KBA6" s="2888" t="s">
        <v>3241</v>
      </c>
      <c r="KBB6" s="2888" t="s">
        <v>3241</v>
      </c>
      <c r="KBC6" s="2888" t="s">
        <v>3241</v>
      </c>
      <c r="KBD6" s="2888" t="s">
        <v>3241</v>
      </c>
      <c r="KBE6" s="2888" t="s">
        <v>3241</v>
      </c>
      <c r="KBF6" s="2888" t="s">
        <v>3241</v>
      </c>
      <c r="KBG6" s="2888" t="s">
        <v>3241</v>
      </c>
      <c r="KBH6" s="2888" t="s">
        <v>3241</v>
      </c>
      <c r="KBI6" s="2888" t="s">
        <v>3241</v>
      </c>
      <c r="KBJ6" s="2888" t="s">
        <v>3241</v>
      </c>
      <c r="KBK6" s="2888" t="s">
        <v>3241</v>
      </c>
      <c r="KBL6" s="2888" t="s">
        <v>3241</v>
      </c>
      <c r="KBM6" s="2888" t="s">
        <v>3241</v>
      </c>
      <c r="KBN6" s="2888" t="s">
        <v>3241</v>
      </c>
      <c r="KBO6" s="2888" t="s">
        <v>3241</v>
      </c>
      <c r="KBP6" s="2888" t="s">
        <v>3241</v>
      </c>
      <c r="KBQ6" s="2888" t="s">
        <v>3241</v>
      </c>
      <c r="KBR6" s="2888" t="s">
        <v>3241</v>
      </c>
      <c r="KBS6" s="2888" t="s">
        <v>3241</v>
      </c>
      <c r="KBT6" s="2888" t="s">
        <v>3241</v>
      </c>
      <c r="KBU6" s="2888" t="s">
        <v>3241</v>
      </c>
      <c r="KBV6" s="2888" t="s">
        <v>3241</v>
      </c>
      <c r="KBW6" s="2888" t="s">
        <v>3241</v>
      </c>
      <c r="KBX6" s="2888" t="s">
        <v>3241</v>
      </c>
      <c r="KBY6" s="2888" t="s">
        <v>3241</v>
      </c>
      <c r="KBZ6" s="2888" t="s">
        <v>3241</v>
      </c>
      <c r="KCA6" s="2888" t="s">
        <v>3241</v>
      </c>
      <c r="KCB6" s="2888" t="s">
        <v>3241</v>
      </c>
      <c r="KCC6" s="2888" t="s">
        <v>3241</v>
      </c>
      <c r="KCD6" s="2888" t="s">
        <v>3241</v>
      </c>
      <c r="KCE6" s="2888" t="s">
        <v>3241</v>
      </c>
      <c r="KCF6" s="2888" t="s">
        <v>3241</v>
      </c>
      <c r="KCG6" s="2888" t="s">
        <v>3241</v>
      </c>
      <c r="KCH6" s="2888" t="s">
        <v>3241</v>
      </c>
      <c r="KCI6" s="2888" t="s">
        <v>3241</v>
      </c>
      <c r="KCJ6" s="2888" t="s">
        <v>3241</v>
      </c>
      <c r="KCK6" s="2888" t="s">
        <v>3241</v>
      </c>
      <c r="KCL6" s="2888" t="s">
        <v>3241</v>
      </c>
      <c r="KCM6" s="2888" t="s">
        <v>3241</v>
      </c>
      <c r="KCN6" s="2888" t="s">
        <v>3241</v>
      </c>
      <c r="KCO6" s="2888" t="s">
        <v>3241</v>
      </c>
      <c r="KCP6" s="2888" t="s">
        <v>3241</v>
      </c>
      <c r="KCQ6" s="2888" t="s">
        <v>3241</v>
      </c>
      <c r="KCR6" s="2888" t="s">
        <v>3241</v>
      </c>
      <c r="KCS6" s="2888" t="s">
        <v>3241</v>
      </c>
      <c r="KCT6" s="2888" t="s">
        <v>3241</v>
      </c>
      <c r="KCU6" s="2888" t="s">
        <v>3241</v>
      </c>
      <c r="KCV6" s="2888" t="s">
        <v>3241</v>
      </c>
      <c r="KCW6" s="2888" t="s">
        <v>3241</v>
      </c>
      <c r="KCX6" s="2888" t="s">
        <v>3241</v>
      </c>
      <c r="KCY6" s="2888" t="s">
        <v>3241</v>
      </c>
      <c r="KCZ6" s="2888" t="s">
        <v>3241</v>
      </c>
      <c r="KDA6" s="2888" t="s">
        <v>3241</v>
      </c>
      <c r="KDB6" s="2888" t="s">
        <v>3241</v>
      </c>
      <c r="KDC6" s="2888" t="s">
        <v>3241</v>
      </c>
      <c r="KDD6" s="2888" t="s">
        <v>3241</v>
      </c>
      <c r="KDE6" s="2888" t="s">
        <v>3241</v>
      </c>
      <c r="KDF6" s="2888" t="s">
        <v>3241</v>
      </c>
      <c r="KDG6" s="2888" t="s">
        <v>3241</v>
      </c>
      <c r="KDH6" s="2888" t="s">
        <v>3241</v>
      </c>
      <c r="KDI6" s="2888" t="s">
        <v>3241</v>
      </c>
      <c r="KDJ6" s="2888" t="s">
        <v>3241</v>
      </c>
      <c r="KDK6" s="2888" t="s">
        <v>3241</v>
      </c>
      <c r="KDL6" s="2888" t="s">
        <v>3241</v>
      </c>
      <c r="KDM6" s="2888" t="s">
        <v>3241</v>
      </c>
      <c r="KDN6" s="2888" t="s">
        <v>3241</v>
      </c>
      <c r="KDO6" s="2888" t="s">
        <v>3241</v>
      </c>
      <c r="KDP6" s="2888" t="s">
        <v>3241</v>
      </c>
      <c r="KDQ6" s="2888" t="s">
        <v>3241</v>
      </c>
      <c r="KDR6" s="2888" t="s">
        <v>3241</v>
      </c>
      <c r="KDS6" s="2888" t="s">
        <v>3241</v>
      </c>
      <c r="KDT6" s="2888" t="s">
        <v>3241</v>
      </c>
      <c r="KDU6" s="2888" t="s">
        <v>3241</v>
      </c>
      <c r="KDV6" s="2888" t="s">
        <v>3241</v>
      </c>
      <c r="KDW6" s="2888" t="s">
        <v>3241</v>
      </c>
      <c r="KDX6" s="2888" t="s">
        <v>3241</v>
      </c>
      <c r="KDY6" s="2888" t="s">
        <v>3241</v>
      </c>
      <c r="KDZ6" s="2888" t="s">
        <v>3241</v>
      </c>
      <c r="KEA6" s="2888" t="s">
        <v>3241</v>
      </c>
      <c r="KEB6" s="2888" t="s">
        <v>3241</v>
      </c>
      <c r="KEC6" s="2888" t="s">
        <v>3241</v>
      </c>
      <c r="KED6" s="2888" t="s">
        <v>3241</v>
      </c>
      <c r="KEE6" s="2888" t="s">
        <v>3241</v>
      </c>
      <c r="KEF6" s="2888" t="s">
        <v>3241</v>
      </c>
      <c r="KEG6" s="2888" t="s">
        <v>3241</v>
      </c>
      <c r="KEH6" s="2888" t="s">
        <v>3241</v>
      </c>
      <c r="KEI6" s="2888" t="s">
        <v>3241</v>
      </c>
      <c r="KEJ6" s="2888" t="s">
        <v>3241</v>
      </c>
      <c r="KEK6" s="2888" t="s">
        <v>3241</v>
      </c>
      <c r="KEL6" s="2888" t="s">
        <v>3241</v>
      </c>
      <c r="KEM6" s="2888" t="s">
        <v>3241</v>
      </c>
      <c r="KEN6" s="2888" t="s">
        <v>3241</v>
      </c>
      <c r="KEO6" s="2888" t="s">
        <v>3241</v>
      </c>
      <c r="KEP6" s="2888" t="s">
        <v>3241</v>
      </c>
      <c r="KEQ6" s="2888" t="s">
        <v>3241</v>
      </c>
      <c r="KER6" s="2888" t="s">
        <v>3241</v>
      </c>
      <c r="KES6" s="2888" t="s">
        <v>3241</v>
      </c>
      <c r="KET6" s="2888" t="s">
        <v>3241</v>
      </c>
      <c r="KEU6" s="2888" t="s">
        <v>3241</v>
      </c>
      <c r="KEV6" s="2888" t="s">
        <v>3241</v>
      </c>
      <c r="KEW6" s="2888" t="s">
        <v>3241</v>
      </c>
      <c r="KEX6" s="2888" t="s">
        <v>3241</v>
      </c>
      <c r="KEY6" s="2888" t="s">
        <v>3241</v>
      </c>
      <c r="KEZ6" s="2888" t="s">
        <v>3241</v>
      </c>
      <c r="KFA6" s="2888" t="s">
        <v>3241</v>
      </c>
      <c r="KFB6" s="2888" t="s">
        <v>3241</v>
      </c>
      <c r="KFC6" s="2888" t="s">
        <v>3241</v>
      </c>
      <c r="KFD6" s="2888" t="s">
        <v>3241</v>
      </c>
      <c r="KFE6" s="2888" t="s">
        <v>3241</v>
      </c>
      <c r="KFF6" s="2888" t="s">
        <v>3241</v>
      </c>
      <c r="KFG6" s="2888" t="s">
        <v>3241</v>
      </c>
      <c r="KFH6" s="2888" t="s">
        <v>3241</v>
      </c>
      <c r="KFI6" s="2888" t="s">
        <v>3241</v>
      </c>
      <c r="KFJ6" s="2888" t="s">
        <v>3241</v>
      </c>
      <c r="KFK6" s="2888" t="s">
        <v>3241</v>
      </c>
      <c r="KFL6" s="2888" t="s">
        <v>3241</v>
      </c>
      <c r="KFM6" s="2888" t="s">
        <v>3241</v>
      </c>
      <c r="KFN6" s="2888" t="s">
        <v>3241</v>
      </c>
      <c r="KFO6" s="2888" t="s">
        <v>3241</v>
      </c>
      <c r="KFP6" s="2888" t="s">
        <v>3241</v>
      </c>
      <c r="KFQ6" s="2888" t="s">
        <v>3241</v>
      </c>
      <c r="KFR6" s="2888" t="s">
        <v>3241</v>
      </c>
      <c r="KFS6" s="2888" t="s">
        <v>3241</v>
      </c>
      <c r="KFT6" s="2888" t="s">
        <v>3241</v>
      </c>
      <c r="KFU6" s="2888" t="s">
        <v>3241</v>
      </c>
      <c r="KFV6" s="2888" t="s">
        <v>3241</v>
      </c>
      <c r="KFW6" s="2888" t="s">
        <v>3241</v>
      </c>
      <c r="KFX6" s="2888" t="s">
        <v>3241</v>
      </c>
      <c r="KFY6" s="2888" t="s">
        <v>3241</v>
      </c>
      <c r="KFZ6" s="2888" t="s">
        <v>3241</v>
      </c>
      <c r="KGA6" s="2888" t="s">
        <v>3241</v>
      </c>
      <c r="KGB6" s="2888" t="s">
        <v>3241</v>
      </c>
      <c r="KGC6" s="2888" t="s">
        <v>3241</v>
      </c>
      <c r="KGD6" s="2888" t="s">
        <v>3241</v>
      </c>
      <c r="KGE6" s="2888" t="s">
        <v>3241</v>
      </c>
      <c r="KGF6" s="2888" t="s">
        <v>3241</v>
      </c>
      <c r="KGG6" s="2888" t="s">
        <v>3241</v>
      </c>
      <c r="KGH6" s="2888" t="s">
        <v>3241</v>
      </c>
      <c r="KGI6" s="2888" t="s">
        <v>3241</v>
      </c>
      <c r="KGJ6" s="2888" t="s">
        <v>3241</v>
      </c>
      <c r="KGK6" s="2888" t="s">
        <v>3241</v>
      </c>
      <c r="KGL6" s="2888" t="s">
        <v>3241</v>
      </c>
      <c r="KGM6" s="2888" t="s">
        <v>3241</v>
      </c>
      <c r="KGN6" s="2888" t="s">
        <v>3241</v>
      </c>
      <c r="KGO6" s="2888" t="s">
        <v>3241</v>
      </c>
      <c r="KGP6" s="2888" t="s">
        <v>3241</v>
      </c>
      <c r="KGQ6" s="2888" t="s">
        <v>3241</v>
      </c>
      <c r="KGR6" s="2888" t="s">
        <v>3241</v>
      </c>
      <c r="KGS6" s="2888" t="s">
        <v>3241</v>
      </c>
      <c r="KGT6" s="2888" t="s">
        <v>3241</v>
      </c>
      <c r="KGU6" s="2888" t="s">
        <v>3241</v>
      </c>
      <c r="KGV6" s="2888" t="s">
        <v>3241</v>
      </c>
      <c r="KGW6" s="2888" t="s">
        <v>3241</v>
      </c>
      <c r="KGX6" s="2888" t="s">
        <v>3241</v>
      </c>
      <c r="KGY6" s="2888" t="s">
        <v>3241</v>
      </c>
      <c r="KGZ6" s="2888" t="s">
        <v>3241</v>
      </c>
      <c r="KHA6" s="2888" t="s">
        <v>3241</v>
      </c>
      <c r="KHB6" s="2888" t="s">
        <v>3241</v>
      </c>
      <c r="KHC6" s="2888" t="s">
        <v>3241</v>
      </c>
      <c r="KHD6" s="2888" t="s">
        <v>3241</v>
      </c>
      <c r="KHE6" s="2888" t="s">
        <v>3241</v>
      </c>
      <c r="KHF6" s="2888" t="s">
        <v>3241</v>
      </c>
      <c r="KHG6" s="2888" t="s">
        <v>3241</v>
      </c>
      <c r="KHH6" s="2888" t="s">
        <v>3241</v>
      </c>
      <c r="KHI6" s="2888" t="s">
        <v>3241</v>
      </c>
      <c r="KHJ6" s="2888" t="s">
        <v>3241</v>
      </c>
      <c r="KHK6" s="2888" t="s">
        <v>3241</v>
      </c>
      <c r="KHL6" s="2888" t="s">
        <v>3241</v>
      </c>
      <c r="KHM6" s="2888" t="s">
        <v>3241</v>
      </c>
      <c r="KHN6" s="2888" t="s">
        <v>3241</v>
      </c>
      <c r="KHO6" s="2888" t="s">
        <v>3241</v>
      </c>
      <c r="KHP6" s="2888" t="s">
        <v>3241</v>
      </c>
      <c r="KHQ6" s="2888" t="s">
        <v>3241</v>
      </c>
      <c r="KHR6" s="2888" t="s">
        <v>3241</v>
      </c>
      <c r="KHS6" s="2888" t="s">
        <v>3241</v>
      </c>
      <c r="KHT6" s="2888" t="s">
        <v>3241</v>
      </c>
      <c r="KHU6" s="2888" t="s">
        <v>3241</v>
      </c>
      <c r="KHV6" s="2888" t="s">
        <v>3241</v>
      </c>
      <c r="KHW6" s="2888" t="s">
        <v>3241</v>
      </c>
      <c r="KHX6" s="2888" t="s">
        <v>3241</v>
      </c>
      <c r="KHY6" s="2888" t="s">
        <v>3241</v>
      </c>
      <c r="KHZ6" s="2888" t="s">
        <v>3241</v>
      </c>
      <c r="KIA6" s="2888" t="s">
        <v>3241</v>
      </c>
      <c r="KIB6" s="2888" t="s">
        <v>3241</v>
      </c>
      <c r="KIC6" s="2888" t="s">
        <v>3241</v>
      </c>
      <c r="KID6" s="2888" t="s">
        <v>3241</v>
      </c>
      <c r="KIE6" s="2888" t="s">
        <v>3241</v>
      </c>
      <c r="KIF6" s="2888" t="s">
        <v>3241</v>
      </c>
      <c r="KIG6" s="2888" t="s">
        <v>3241</v>
      </c>
      <c r="KIH6" s="2888" t="s">
        <v>3241</v>
      </c>
      <c r="KII6" s="2888" t="s">
        <v>3241</v>
      </c>
      <c r="KIJ6" s="2888" t="s">
        <v>3241</v>
      </c>
      <c r="KIK6" s="2888" t="s">
        <v>3241</v>
      </c>
      <c r="KIL6" s="2888" t="s">
        <v>3241</v>
      </c>
      <c r="KIM6" s="2888" t="s">
        <v>3241</v>
      </c>
      <c r="KIN6" s="2888" t="s">
        <v>3241</v>
      </c>
      <c r="KIO6" s="2888" t="s">
        <v>3241</v>
      </c>
      <c r="KIP6" s="2888" t="s">
        <v>3241</v>
      </c>
      <c r="KIQ6" s="2888" t="s">
        <v>3241</v>
      </c>
      <c r="KIR6" s="2888" t="s">
        <v>3241</v>
      </c>
      <c r="KIS6" s="2888" t="s">
        <v>3241</v>
      </c>
      <c r="KIT6" s="2888" t="s">
        <v>3241</v>
      </c>
      <c r="KIU6" s="2888" t="s">
        <v>3241</v>
      </c>
      <c r="KIV6" s="2888" t="s">
        <v>3241</v>
      </c>
      <c r="KIW6" s="2888" t="s">
        <v>3241</v>
      </c>
      <c r="KIX6" s="2888" t="s">
        <v>3241</v>
      </c>
      <c r="KIY6" s="2888" t="s">
        <v>3241</v>
      </c>
      <c r="KIZ6" s="2888" t="s">
        <v>3241</v>
      </c>
      <c r="KJA6" s="2888" t="s">
        <v>3241</v>
      </c>
      <c r="KJB6" s="2888" t="s">
        <v>3241</v>
      </c>
      <c r="KJC6" s="2888" t="s">
        <v>3241</v>
      </c>
      <c r="KJD6" s="2888" t="s">
        <v>3241</v>
      </c>
      <c r="KJE6" s="2888" t="s">
        <v>3241</v>
      </c>
      <c r="KJF6" s="2888" t="s">
        <v>3241</v>
      </c>
      <c r="KJG6" s="2888" t="s">
        <v>3241</v>
      </c>
      <c r="KJH6" s="2888" t="s">
        <v>3241</v>
      </c>
      <c r="KJI6" s="2888" t="s">
        <v>3241</v>
      </c>
      <c r="KJJ6" s="2888" t="s">
        <v>3241</v>
      </c>
      <c r="KJK6" s="2888" t="s">
        <v>3241</v>
      </c>
      <c r="KJL6" s="2888" t="s">
        <v>3241</v>
      </c>
      <c r="KJM6" s="2888" t="s">
        <v>3241</v>
      </c>
      <c r="KJN6" s="2888" t="s">
        <v>3241</v>
      </c>
      <c r="KJO6" s="2888" t="s">
        <v>3241</v>
      </c>
      <c r="KJP6" s="2888" t="s">
        <v>3241</v>
      </c>
      <c r="KJQ6" s="2888" t="s">
        <v>3241</v>
      </c>
      <c r="KJR6" s="2888" t="s">
        <v>3241</v>
      </c>
      <c r="KJS6" s="2888" t="s">
        <v>3241</v>
      </c>
      <c r="KJT6" s="2888" t="s">
        <v>3241</v>
      </c>
      <c r="KJU6" s="2888" t="s">
        <v>3241</v>
      </c>
      <c r="KJV6" s="2888" t="s">
        <v>3241</v>
      </c>
      <c r="KJW6" s="2888" t="s">
        <v>3241</v>
      </c>
      <c r="KJX6" s="2888" t="s">
        <v>3241</v>
      </c>
      <c r="KJY6" s="2888" t="s">
        <v>3241</v>
      </c>
      <c r="KJZ6" s="2888" t="s">
        <v>3241</v>
      </c>
      <c r="KKA6" s="2888" t="s">
        <v>3241</v>
      </c>
      <c r="KKB6" s="2888" t="s">
        <v>3241</v>
      </c>
      <c r="KKC6" s="2888" t="s">
        <v>3241</v>
      </c>
      <c r="KKD6" s="2888" t="s">
        <v>3241</v>
      </c>
      <c r="KKE6" s="2888" t="s">
        <v>3241</v>
      </c>
      <c r="KKF6" s="2888" t="s">
        <v>3241</v>
      </c>
      <c r="KKG6" s="2888" t="s">
        <v>3241</v>
      </c>
      <c r="KKH6" s="2888" t="s">
        <v>3241</v>
      </c>
      <c r="KKI6" s="2888" t="s">
        <v>3241</v>
      </c>
      <c r="KKJ6" s="2888" t="s">
        <v>3241</v>
      </c>
      <c r="KKK6" s="2888" t="s">
        <v>3241</v>
      </c>
      <c r="KKL6" s="2888" t="s">
        <v>3241</v>
      </c>
      <c r="KKM6" s="2888" t="s">
        <v>3241</v>
      </c>
      <c r="KKN6" s="2888" t="s">
        <v>3241</v>
      </c>
      <c r="KKO6" s="2888" t="s">
        <v>3241</v>
      </c>
      <c r="KKP6" s="2888" t="s">
        <v>3241</v>
      </c>
      <c r="KKQ6" s="2888" t="s">
        <v>3241</v>
      </c>
      <c r="KKR6" s="2888" t="s">
        <v>3241</v>
      </c>
      <c r="KKS6" s="2888" t="s">
        <v>3241</v>
      </c>
      <c r="KKT6" s="2888" t="s">
        <v>3241</v>
      </c>
      <c r="KKU6" s="2888" t="s">
        <v>3241</v>
      </c>
      <c r="KKV6" s="2888" t="s">
        <v>3241</v>
      </c>
      <c r="KKW6" s="2888" t="s">
        <v>3241</v>
      </c>
      <c r="KKX6" s="2888" t="s">
        <v>3241</v>
      </c>
      <c r="KKY6" s="2888" t="s">
        <v>3241</v>
      </c>
      <c r="KKZ6" s="2888" t="s">
        <v>3241</v>
      </c>
      <c r="KLA6" s="2888" t="s">
        <v>3241</v>
      </c>
      <c r="KLB6" s="2888" t="s">
        <v>3241</v>
      </c>
      <c r="KLC6" s="2888" t="s">
        <v>3241</v>
      </c>
      <c r="KLD6" s="2888" t="s">
        <v>3241</v>
      </c>
      <c r="KLE6" s="2888" t="s">
        <v>3241</v>
      </c>
      <c r="KLF6" s="2888" t="s">
        <v>3241</v>
      </c>
      <c r="KLG6" s="2888" t="s">
        <v>3241</v>
      </c>
      <c r="KLH6" s="2888" t="s">
        <v>3241</v>
      </c>
      <c r="KLI6" s="2888" t="s">
        <v>3241</v>
      </c>
      <c r="KLJ6" s="2888" t="s">
        <v>3241</v>
      </c>
      <c r="KLK6" s="2888" t="s">
        <v>3241</v>
      </c>
      <c r="KLL6" s="2888" t="s">
        <v>3241</v>
      </c>
      <c r="KLM6" s="2888" t="s">
        <v>3241</v>
      </c>
      <c r="KLN6" s="2888" t="s">
        <v>3241</v>
      </c>
      <c r="KLO6" s="2888" t="s">
        <v>3241</v>
      </c>
      <c r="KLP6" s="2888" t="s">
        <v>3241</v>
      </c>
      <c r="KLQ6" s="2888" t="s">
        <v>3241</v>
      </c>
      <c r="KLR6" s="2888" t="s">
        <v>3241</v>
      </c>
      <c r="KLS6" s="2888" t="s">
        <v>3241</v>
      </c>
      <c r="KLT6" s="2888" t="s">
        <v>3241</v>
      </c>
      <c r="KLU6" s="2888" t="s">
        <v>3241</v>
      </c>
      <c r="KLV6" s="2888" t="s">
        <v>3241</v>
      </c>
      <c r="KLW6" s="2888" t="s">
        <v>3241</v>
      </c>
      <c r="KLX6" s="2888" t="s">
        <v>3241</v>
      </c>
      <c r="KLY6" s="2888" t="s">
        <v>3241</v>
      </c>
      <c r="KLZ6" s="2888" t="s">
        <v>3241</v>
      </c>
      <c r="KMA6" s="2888" t="s">
        <v>3241</v>
      </c>
      <c r="KMB6" s="2888" t="s">
        <v>3241</v>
      </c>
      <c r="KMC6" s="2888" t="s">
        <v>3241</v>
      </c>
      <c r="KMD6" s="2888" t="s">
        <v>3241</v>
      </c>
      <c r="KME6" s="2888" t="s">
        <v>3241</v>
      </c>
      <c r="KMF6" s="2888" t="s">
        <v>3241</v>
      </c>
      <c r="KMG6" s="2888" t="s">
        <v>3241</v>
      </c>
      <c r="KMH6" s="2888" t="s">
        <v>3241</v>
      </c>
      <c r="KMI6" s="2888" t="s">
        <v>3241</v>
      </c>
      <c r="KMJ6" s="2888" t="s">
        <v>3241</v>
      </c>
      <c r="KMK6" s="2888" t="s">
        <v>3241</v>
      </c>
      <c r="KML6" s="2888" t="s">
        <v>3241</v>
      </c>
      <c r="KMM6" s="2888" t="s">
        <v>3241</v>
      </c>
      <c r="KMN6" s="2888" t="s">
        <v>3241</v>
      </c>
      <c r="KMO6" s="2888" t="s">
        <v>3241</v>
      </c>
      <c r="KMP6" s="2888" t="s">
        <v>3241</v>
      </c>
      <c r="KMQ6" s="2888" t="s">
        <v>3241</v>
      </c>
      <c r="KMR6" s="2888" t="s">
        <v>3241</v>
      </c>
      <c r="KMS6" s="2888" t="s">
        <v>3241</v>
      </c>
      <c r="KMT6" s="2888" t="s">
        <v>3241</v>
      </c>
      <c r="KMU6" s="2888" t="s">
        <v>3241</v>
      </c>
      <c r="KMV6" s="2888" t="s">
        <v>3241</v>
      </c>
      <c r="KMW6" s="2888" t="s">
        <v>3241</v>
      </c>
      <c r="KMX6" s="2888" t="s">
        <v>3241</v>
      </c>
      <c r="KMY6" s="2888" t="s">
        <v>3241</v>
      </c>
      <c r="KMZ6" s="2888" t="s">
        <v>3241</v>
      </c>
      <c r="KNA6" s="2888" t="s">
        <v>3241</v>
      </c>
      <c r="KNB6" s="2888" t="s">
        <v>3241</v>
      </c>
      <c r="KNC6" s="2888" t="s">
        <v>3241</v>
      </c>
      <c r="KND6" s="2888" t="s">
        <v>3241</v>
      </c>
      <c r="KNE6" s="2888" t="s">
        <v>3241</v>
      </c>
      <c r="KNF6" s="2888" t="s">
        <v>3241</v>
      </c>
      <c r="KNG6" s="2888" t="s">
        <v>3241</v>
      </c>
      <c r="KNH6" s="2888" t="s">
        <v>3241</v>
      </c>
      <c r="KNI6" s="2888" t="s">
        <v>3241</v>
      </c>
      <c r="KNJ6" s="2888" t="s">
        <v>3241</v>
      </c>
      <c r="KNK6" s="2888" t="s">
        <v>3241</v>
      </c>
      <c r="KNL6" s="2888" t="s">
        <v>3241</v>
      </c>
      <c r="KNM6" s="2888" t="s">
        <v>3241</v>
      </c>
      <c r="KNN6" s="2888" t="s">
        <v>3241</v>
      </c>
      <c r="KNO6" s="2888" t="s">
        <v>3241</v>
      </c>
      <c r="KNP6" s="2888" t="s">
        <v>3241</v>
      </c>
      <c r="KNQ6" s="2888" t="s">
        <v>3241</v>
      </c>
      <c r="KNR6" s="2888" t="s">
        <v>3241</v>
      </c>
      <c r="KNS6" s="2888" t="s">
        <v>3241</v>
      </c>
      <c r="KNT6" s="2888" t="s">
        <v>3241</v>
      </c>
      <c r="KNU6" s="2888" t="s">
        <v>3241</v>
      </c>
      <c r="KNV6" s="2888" t="s">
        <v>3241</v>
      </c>
      <c r="KNW6" s="2888" t="s">
        <v>3241</v>
      </c>
      <c r="KNX6" s="2888" t="s">
        <v>3241</v>
      </c>
      <c r="KNY6" s="2888" t="s">
        <v>3241</v>
      </c>
      <c r="KNZ6" s="2888" t="s">
        <v>3241</v>
      </c>
      <c r="KOA6" s="2888" t="s">
        <v>3241</v>
      </c>
      <c r="KOB6" s="2888" t="s">
        <v>3241</v>
      </c>
      <c r="KOC6" s="2888" t="s">
        <v>3241</v>
      </c>
      <c r="KOD6" s="2888" t="s">
        <v>3241</v>
      </c>
      <c r="KOE6" s="2888" t="s">
        <v>3241</v>
      </c>
      <c r="KOF6" s="2888" t="s">
        <v>3241</v>
      </c>
      <c r="KOG6" s="2888" t="s">
        <v>3241</v>
      </c>
      <c r="KOH6" s="2888" t="s">
        <v>3241</v>
      </c>
      <c r="KOI6" s="2888" t="s">
        <v>3241</v>
      </c>
      <c r="KOJ6" s="2888" t="s">
        <v>3241</v>
      </c>
      <c r="KOK6" s="2888" t="s">
        <v>3241</v>
      </c>
      <c r="KOL6" s="2888" t="s">
        <v>3241</v>
      </c>
      <c r="KOM6" s="2888" t="s">
        <v>3241</v>
      </c>
      <c r="KON6" s="2888" t="s">
        <v>3241</v>
      </c>
      <c r="KOO6" s="2888" t="s">
        <v>3241</v>
      </c>
      <c r="KOP6" s="2888" t="s">
        <v>3241</v>
      </c>
      <c r="KOQ6" s="2888" t="s">
        <v>3241</v>
      </c>
      <c r="KOR6" s="2888" t="s">
        <v>3241</v>
      </c>
      <c r="KOS6" s="2888" t="s">
        <v>3241</v>
      </c>
      <c r="KOT6" s="2888" t="s">
        <v>3241</v>
      </c>
      <c r="KOU6" s="2888" t="s">
        <v>3241</v>
      </c>
      <c r="KOV6" s="2888" t="s">
        <v>3241</v>
      </c>
      <c r="KOW6" s="2888" t="s">
        <v>3241</v>
      </c>
      <c r="KOX6" s="2888" t="s">
        <v>3241</v>
      </c>
      <c r="KOY6" s="2888" t="s">
        <v>3241</v>
      </c>
      <c r="KOZ6" s="2888" t="s">
        <v>3241</v>
      </c>
      <c r="KPA6" s="2888" t="s">
        <v>3241</v>
      </c>
      <c r="KPB6" s="2888" t="s">
        <v>3241</v>
      </c>
      <c r="KPC6" s="2888" t="s">
        <v>3241</v>
      </c>
      <c r="KPD6" s="2888" t="s">
        <v>3241</v>
      </c>
      <c r="KPE6" s="2888" t="s">
        <v>3241</v>
      </c>
      <c r="KPF6" s="2888" t="s">
        <v>3241</v>
      </c>
      <c r="KPG6" s="2888" t="s">
        <v>3241</v>
      </c>
      <c r="KPH6" s="2888" t="s">
        <v>3241</v>
      </c>
      <c r="KPI6" s="2888" t="s">
        <v>3241</v>
      </c>
      <c r="KPJ6" s="2888" t="s">
        <v>3241</v>
      </c>
      <c r="KPK6" s="2888" t="s">
        <v>3241</v>
      </c>
      <c r="KPL6" s="2888" t="s">
        <v>3241</v>
      </c>
      <c r="KPM6" s="2888" t="s">
        <v>3241</v>
      </c>
      <c r="KPN6" s="2888" t="s">
        <v>3241</v>
      </c>
      <c r="KPO6" s="2888" t="s">
        <v>3241</v>
      </c>
      <c r="KPP6" s="2888" t="s">
        <v>3241</v>
      </c>
      <c r="KPQ6" s="2888" t="s">
        <v>3241</v>
      </c>
      <c r="KPR6" s="2888" t="s">
        <v>3241</v>
      </c>
      <c r="KPS6" s="2888" t="s">
        <v>3241</v>
      </c>
      <c r="KPT6" s="2888" t="s">
        <v>3241</v>
      </c>
      <c r="KPU6" s="2888" t="s">
        <v>3241</v>
      </c>
      <c r="KPV6" s="2888" t="s">
        <v>3241</v>
      </c>
      <c r="KPW6" s="2888" t="s">
        <v>3241</v>
      </c>
      <c r="KPX6" s="2888" t="s">
        <v>3241</v>
      </c>
      <c r="KPY6" s="2888" t="s">
        <v>3241</v>
      </c>
      <c r="KPZ6" s="2888" t="s">
        <v>3241</v>
      </c>
      <c r="KQA6" s="2888" t="s">
        <v>3241</v>
      </c>
      <c r="KQB6" s="2888" t="s">
        <v>3241</v>
      </c>
      <c r="KQC6" s="2888" t="s">
        <v>3241</v>
      </c>
      <c r="KQD6" s="2888" t="s">
        <v>3241</v>
      </c>
      <c r="KQE6" s="2888" t="s">
        <v>3241</v>
      </c>
      <c r="KQF6" s="2888" t="s">
        <v>3241</v>
      </c>
      <c r="KQG6" s="2888" t="s">
        <v>3241</v>
      </c>
      <c r="KQH6" s="2888" t="s">
        <v>3241</v>
      </c>
      <c r="KQI6" s="2888" t="s">
        <v>3241</v>
      </c>
      <c r="KQJ6" s="2888" t="s">
        <v>3241</v>
      </c>
      <c r="KQK6" s="2888" t="s">
        <v>3241</v>
      </c>
      <c r="KQL6" s="2888" t="s">
        <v>3241</v>
      </c>
      <c r="KQM6" s="2888" t="s">
        <v>3241</v>
      </c>
      <c r="KQN6" s="2888" t="s">
        <v>3241</v>
      </c>
      <c r="KQO6" s="2888" t="s">
        <v>3241</v>
      </c>
      <c r="KQP6" s="2888" t="s">
        <v>3241</v>
      </c>
      <c r="KQQ6" s="2888" t="s">
        <v>3241</v>
      </c>
      <c r="KQR6" s="2888" t="s">
        <v>3241</v>
      </c>
      <c r="KQS6" s="2888" t="s">
        <v>3241</v>
      </c>
      <c r="KQT6" s="2888" t="s">
        <v>3241</v>
      </c>
      <c r="KQU6" s="2888" t="s">
        <v>3241</v>
      </c>
      <c r="KQV6" s="2888" t="s">
        <v>3241</v>
      </c>
      <c r="KQW6" s="2888" t="s">
        <v>3241</v>
      </c>
      <c r="KQX6" s="2888" t="s">
        <v>3241</v>
      </c>
      <c r="KQY6" s="2888" t="s">
        <v>3241</v>
      </c>
      <c r="KQZ6" s="2888" t="s">
        <v>3241</v>
      </c>
      <c r="KRA6" s="2888" t="s">
        <v>3241</v>
      </c>
      <c r="KRB6" s="2888" t="s">
        <v>3241</v>
      </c>
      <c r="KRC6" s="2888" t="s">
        <v>3241</v>
      </c>
      <c r="KRD6" s="2888" t="s">
        <v>3241</v>
      </c>
      <c r="KRE6" s="2888" t="s">
        <v>3241</v>
      </c>
      <c r="KRF6" s="2888" t="s">
        <v>3241</v>
      </c>
      <c r="KRG6" s="2888" t="s">
        <v>3241</v>
      </c>
      <c r="KRH6" s="2888" t="s">
        <v>3241</v>
      </c>
      <c r="KRI6" s="2888" t="s">
        <v>3241</v>
      </c>
      <c r="KRJ6" s="2888" t="s">
        <v>3241</v>
      </c>
      <c r="KRK6" s="2888" t="s">
        <v>3241</v>
      </c>
      <c r="KRL6" s="2888" t="s">
        <v>3241</v>
      </c>
      <c r="KRM6" s="2888" t="s">
        <v>3241</v>
      </c>
      <c r="KRN6" s="2888" t="s">
        <v>3241</v>
      </c>
      <c r="KRO6" s="2888" t="s">
        <v>3241</v>
      </c>
      <c r="KRP6" s="2888" t="s">
        <v>3241</v>
      </c>
      <c r="KRQ6" s="2888" t="s">
        <v>3241</v>
      </c>
      <c r="KRR6" s="2888" t="s">
        <v>3241</v>
      </c>
      <c r="KRS6" s="2888" t="s">
        <v>3241</v>
      </c>
      <c r="KRT6" s="2888" t="s">
        <v>3241</v>
      </c>
      <c r="KRU6" s="2888" t="s">
        <v>3241</v>
      </c>
      <c r="KRV6" s="2888" t="s">
        <v>3241</v>
      </c>
      <c r="KRW6" s="2888" t="s">
        <v>3241</v>
      </c>
      <c r="KRX6" s="2888" t="s">
        <v>3241</v>
      </c>
      <c r="KRY6" s="2888" t="s">
        <v>3241</v>
      </c>
      <c r="KRZ6" s="2888" t="s">
        <v>3241</v>
      </c>
      <c r="KSA6" s="2888" t="s">
        <v>3241</v>
      </c>
      <c r="KSB6" s="2888" t="s">
        <v>3241</v>
      </c>
      <c r="KSC6" s="2888" t="s">
        <v>3241</v>
      </c>
      <c r="KSD6" s="2888" t="s">
        <v>3241</v>
      </c>
      <c r="KSE6" s="2888" t="s">
        <v>3241</v>
      </c>
      <c r="KSF6" s="2888" t="s">
        <v>3241</v>
      </c>
      <c r="KSG6" s="2888" t="s">
        <v>3241</v>
      </c>
      <c r="KSH6" s="2888" t="s">
        <v>3241</v>
      </c>
      <c r="KSI6" s="2888" t="s">
        <v>3241</v>
      </c>
      <c r="KSJ6" s="2888" t="s">
        <v>3241</v>
      </c>
      <c r="KSK6" s="2888" t="s">
        <v>3241</v>
      </c>
      <c r="KSL6" s="2888" t="s">
        <v>3241</v>
      </c>
      <c r="KSM6" s="2888" t="s">
        <v>3241</v>
      </c>
      <c r="KSN6" s="2888" t="s">
        <v>3241</v>
      </c>
      <c r="KSO6" s="2888" t="s">
        <v>3241</v>
      </c>
      <c r="KSP6" s="2888" t="s">
        <v>3241</v>
      </c>
      <c r="KSQ6" s="2888" t="s">
        <v>3241</v>
      </c>
      <c r="KSR6" s="2888" t="s">
        <v>3241</v>
      </c>
      <c r="KSS6" s="2888" t="s">
        <v>3241</v>
      </c>
      <c r="KST6" s="2888" t="s">
        <v>3241</v>
      </c>
      <c r="KSU6" s="2888" t="s">
        <v>3241</v>
      </c>
      <c r="KSV6" s="2888" t="s">
        <v>3241</v>
      </c>
      <c r="KSW6" s="2888" t="s">
        <v>3241</v>
      </c>
      <c r="KSX6" s="2888" t="s">
        <v>3241</v>
      </c>
      <c r="KSY6" s="2888" t="s">
        <v>3241</v>
      </c>
      <c r="KSZ6" s="2888" t="s">
        <v>3241</v>
      </c>
      <c r="KTA6" s="2888" t="s">
        <v>3241</v>
      </c>
      <c r="KTB6" s="2888" t="s">
        <v>3241</v>
      </c>
      <c r="KTC6" s="2888" t="s">
        <v>3241</v>
      </c>
      <c r="KTD6" s="2888" t="s">
        <v>3241</v>
      </c>
      <c r="KTE6" s="2888" t="s">
        <v>3241</v>
      </c>
      <c r="KTF6" s="2888" t="s">
        <v>3241</v>
      </c>
      <c r="KTG6" s="2888" t="s">
        <v>3241</v>
      </c>
      <c r="KTH6" s="2888" t="s">
        <v>3241</v>
      </c>
      <c r="KTI6" s="2888" t="s">
        <v>3241</v>
      </c>
      <c r="KTJ6" s="2888" t="s">
        <v>3241</v>
      </c>
      <c r="KTK6" s="2888" t="s">
        <v>3241</v>
      </c>
      <c r="KTL6" s="2888" t="s">
        <v>3241</v>
      </c>
      <c r="KTM6" s="2888" t="s">
        <v>3241</v>
      </c>
      <c r="KTN6" s="2888" t="s">
        <v>3241</v>
      </c>
      <c r="KTO6" s="2888" t="s">
        <v>3241</v>
      </c>
      <c r="KTP6" s="2888" t="s">
        <v>3241</v>
      </c>
      <c r="KTQ6" s="2888" t="s">
        <v>3241</v>
      </c>
      <c r="KTR6" s="2888" t="s">
        <v>3241</v>
      </c>
      <c r="KTS6" s="2888" t="s">
        <v>3241</v>
      </c>
      <c r="KTT6" s="2888" t="s">
        <v>3241</v>
      </c>
      <c r="KTU6" s="2888" t="s">
        <v>3241</v>
      </c>
      <c r="KTV6" s="2888" t="s">
        <v>3241</v>
      </c>
      <c r="KTW6" s="2888" t="s">
        <v>3241</v>
      </c>
      <c r="KTX6" s="2888" t="s">
        <v>3241</v>
      </c>
      <c r="KTY6" s="2888" t="s">
        <v>3241</v>
      </c>
      <c r="KTZ6" s="2888" t="s">
        <v>3241</v>
      </c>
      <c r="KUA6" s="2888" t="s">
        <v>3241</v>
      </c>
      <c r="KUB6" s="2888" t="s">
        <v>3241</v>
      </c>
      <c r="KUC6" s="2888" t="s">
        <v>3241</v>
      </c>
      <c r="KUD6" s="2888" t="s">
        <v>3241</v>
      </c>
      <c r="KUE6" s="2888" t="s">
        <v>3241</v>
      </c>
      <c r="KUF6" s="2888" t="s">
        <v>3241</v>
      </c>
      <c r="KUG6" s="2888" t="s">
        <v>3241</v>
      </c>
      <c r="KUH6" s="2888" t="s">
        <v>3241</v>
      </c>
      <c r="KUI6" s="2888" t="s">
        <v>3241</v>
      </c>
      <c r="KUJ6" s="2888" t="s">
        <v>3241</v>
      </c>
      <c r="KUK6" s="2888" t="s">
        <v>3241</v>
      </c>
      <c r="KUL6" s="2888" t="s">
        <v>3241</v>
      </c>
      <c r="KUM6" s="2888" t="s">
        <v>3241</v>
      </c>
      <c r="KUN6" s="2888" t="s">
        <v>3241</v>
      </c>
      <c r="KUO6" s="2888" t="s">
        <v>3241</v>
      </c>
      <c r="KUP6" s="2888" t="s">
        <v>3241</v>
      </c>
      <c r="KUQ6" s="2888" t="s">
        <v>3241</v>
      </c>
      <c r="KUR6" s="2888" t="s">
        <v>3241</v>
      </c>
      <c r="KUS6" s="2888" t="s">
        <v>3241</v>
      </c>
      <c r="KUT6" s="2888" t="s">
        <v>3241</v>
      </c>
      <c r="KUU6" s="2888" t="s">
        <v>3241</v>
      </c>
      <c r="KUV6" s="2888" t="s">
        <v>3241</v>
      </c>
      <c r="KUW6" s="2888" t="s">
        <v>3241</v>
      </c>
      <c r="KUX6" s="2888" t="s">
        <v>3241</v>
      </c>
      <c r="KUY6" s="2888" t="s">
        <v>3241</v>
      </c>
      <c r="KUZ6" s="2888" t="s">
        <v>3241</v>
      </c>
      <c r="KVA6" s="2888" t="s">
        <v>3241</v>
      </c>
      <c r="KVB6" s="2888" t="s">
        <v>3241</v>
      </c>
      <c r="KVC6" s="2888" t="s">
        <v>3241</v>
      </c>
      <c r="KVD6" s="2888" t="s">
        <v>3241</v>
      </c>
      <c r="KVE6" s="2888" t="s">
        <v>3241</v>
      </c>
      <c r="KVF6" s="2888" t="s">
        <v>3241</v>
      </c>
      <c r="KVG6" s="2888" t="s">
        <v>3241</v>
      </c>
      <c r="KVH6" s="2888" t="s">
        <v>3241</v>
      </c>
      <c r="KVI6" s="2888" t="s">
        <v>3241</v>
      </c>
      <c r="KVJ6" s="2888" t="s">
        <v>3241</v>
      </c>
      <c r="KVK6" s="2888" t="s">
        <v>3241</v>
      </c>
      <c r="KVL6" s="2888" t="s">
        <v>3241</v>
      </c>
      <c r="KVM6" s="2888" t="s">
        <v>3241</v>
      </c>
      <c r="KVN6" s="2888" t="s">
        <v>3241</v>
      </c>
      <c r="KVO6" s="2888" t="s">
        <v>3241</v>
      </c>
      <c r="KVP6" s="2888" t="s">
        <v>3241</v>
      </c>
      <c r="KVQ6" s="2888" t="s">
        <v>3241</v>
      </c>
      <c r="KVR6" s="2888" t="s">
        <v>3241</v>
      </c>
      <c r="KVS6" s="2888" t="s">
        <v>3241</v>
      </c>
      <c r="KVT6" s="2888" t="s">
        <v>3241</v>
      </c>
      <c r="KVU6" s="2888" t="s">
        <v>3241</v>
      </c>
      <c r="KVV6" s="2888" t="s">
        <v>3241</v>
      </c>
      <c r="KVW6" s="2888" t="s">
        <v>3241</v>
      </c>
      <c r="KVX6" s="2888" t="s">
        <v>3241</v>
      </c>
      <c r="KVY6" s="2888" t="s">
        <v>3241</v>
      </c>
      <c r="KVZ6" s="2888" t="s">
        <v>3241</v>
      </c>
      <c r="KWA6" s="2888" t="s">
        <v>3241</v>
      </c>
      <c r="KWB6" s="2888" t="s">
        <v>3241</v>
      </c>
      <c r="KWC6" s="2888" t="s">
        <v>3241</v>
      </c>
      <c r="KWD6" s="2888" t="s">
        <v>3241</v>
      </c>
      <c r="KWE6" s="2888" t="s">
        <v>3241</v>
      </c>
      <c r="KWF6" s="2888" t="s">
        <v>3241</v>
      </c>
      <c r="KWG6" s="2888" t="s">
        <v>3241</v>
      </c>
      <c r="KWH6" s="2888" t="s">
        <v>3241</v>
      </c>
      <c r="KWI6" s="2888" t="s">
        <v>3241</v>
      </c>
      <c r="KWJ6" s="2888" t="s">
        <v>3241</v>
      </c>
      <c r="KWK6" s="2888" t="s">
        <v>3241</v>
      </c>
      <c r="KWL6" s="2888" t="s">
        <v>3241</v>
      </c>
      <c r="KWM6" s="2888" t="s">
        <v>3241</v>
      </c>
      <c r="KWN6" s="2888" t="s">
        <v>3241</v>
      </c>
      <c r="KWO6" s="2888" t="s">
        <v>3241</v>
      </c>
      <c r="KWP6" s="2888" t="s">
        <v>3241</v>
      </c>
      <c r="KWQ6" s="2888" t="s">
        <v>3241</v>
      </c>
      <c r="KWR6" s="2888" t="s">
        <v>3241</v>
      </c>
      <c r="KWS6" s="2888" t="s">
        <v>3241</v>
      </c>
      <c r="KWT6" s="2888" t="s">
        <v>3241</v>
      </c>
      <c r="KWU6" s="2888" t="s">
        <v>3241</v>
      </c>
      <c r="KWV6" s="2888" t="s">
        <v>3241</v>
      </c>
      <c r="KWW6" s="2888" t="s">
        <v>3241</v>
      </c>
      <c r="KWX6" s="2888" t="s">
        <v>3241</v>
      </c>
      <c r="KWY6" s="2888" t="s">
        <v>3241</v>
      </c>
      <c r="KWZ6" s="2888" t="s">
        <v>3241</v>
      </c>
      <c r="KXA6" s="2888" t="s">
        <v>3241</v>
      </c>
      <c r="KXB6" s="2888" t="s">
        <v>3241</v>
      </c>
      <c r="KXC6" s="2888" t="s">
        <v>3241</v>
      </c>
      <c r="KXD6" s="2888" t="s">
        <v>3241</v>
      </c>
      <c r="KXE6" s="2888" t="s">
        <v>3241</v>
      </c>
      <c r="KXF6" s="2888" t="s">
        <v>3241</v>
      </c>
      <c r="KXG6" s="2888" t="s">
        <v>3241</v>
      </c>
      <c r="KXH6" s="2888" t="s">
        <v>3241</v>
      </c>
      <c r="KXI6" s="2888" t="s">
        <v>3241</v>
      </c>
      <c r="KXJ6" s="2888" t="s">
        <v>3241</v>
      </c>
      <c r="KXK6" s="2888" t="s">
        <v>3241</v>
      </c>
      <c r="KXL6" s="2888" t="s">
        <v>3241</v>
      </c>
      <c r="KXM6" s="2888" t="s">
        <v>3241</v>
      </c>
      <c r="KXN6" s="2888" t="s">
        <v>3241</v>
      </c>
      <c r="KXO6" s="2888" t="s">
        <v>3241</v>
      </c>
      <c r="KXP6" s="2888" t="s">
        <v>3241</v>
      </c>
      <c r="KXQ6" s="2888" t="s">
        <v>3241</v>
      </c>
      <c r="KXR6" s="2888" t="s">
        <v>3241</v>
      </c>
      <c r="KXS6" s="2888" t="s">
        <v>3241</v>
      </c>
      <c r="KXT6" s="2888" t="s">
        <v>3241</v>
      </c>
      <c r="KXU6" s="2888" t="s">
        <v>3241</v>
      </c>
      <c r="KXV6" s="2888" t="s">
        <v>3241</v>
      </c>
      <c r="KXW6" s="2888" t="s">
        <v>3241</v>
      </c>
      <c r="KXX6" s="2888" t="s">
        <v>3241</v>
      </c>
      <c r="KXY6" s="2888" t="s">
        <v>3241</v>
      </c>
      <c r="KXZ6" s="2888" t="s">
        <v>3241</v>
      </c>
      <c r="KYA6" s="2888" t="s">
        <v>3241</v>
      </c>
      <c r="KYB6" s="2888" t="s">
        <v>3241</v>
      </c>
      <c r="KYC6" s="2888" t="s">
        <v>3241</v>
      </c>
      <c r="KYD6" s="2888" t="s">
        <v>3241</v>
      </c>
      <c r="KYE6" s="2888" t="s">
        <v>3241</v>
      </c>
      <c r="KYF6" s="2888" t="s">
        <v>3241</v>
      </c>
      <c r="KYG6" s="2888" t="s">
        <v>3241</v>
      </c>
      <c r="KYH6" s="2888" t="s">
        <v>3241</v>
      </c>
      <c r="KYI6" s="2888" t="s">
        <v>3241</v>
      </c>
      <c r="KYJ6" s="2888" t="s">
        <v>3241</v>
      </c>
      <c r="KYK6" s="2888" t="s">
        <v>3241</v>
      </c>
      <c r="KYL6" s="2888" t="s">
        <v>3241</v>
      </c>
      <c r="KYM6" s="2888" t="s">
        <v>3241</v>
      </c>
      <c r="KYN6" s="2888" t="s">
        <v>3241</v>
      </c>
      <c r="KYO6" s="2888" t="s">
        <v>3241</v>
      </c>
      <c r="KYP6" s="2888" t="s">
        <v>3241</v>
      </c>
      <c r="KYQ6" s="2888" t="s">
        <v>3241</v>
      </c>
      <c r="KYR6" s="2888" t="s">
        <v>3241</v>
      </c>
      <c r="KYS6" s="2888" t="s">
        <v>3241</v>
      </c>
      <c r="KYT6" s="2888" t="s">
        <v>3241</v>
      </c>
      <c r="KYU6" s="2888" t="s">
        <v>3241</v>
      </c>
      <c r="KYV6" s="2888" t="s">
        <v>3241</v>
      </c>
      <c r="KYW6" s="2888" t="s">
        <v>3241</v>
      </c>
      <c r="KYX6" s="2888" t="s">
        <v>3241</v>
      </c>
      <c r="KYY6" s="2888" t="s">
        <v>3241</v>
      </c>
      <c r="KYZ6" s="2888" t="s">
        <v>3241</v>
      </c>
      <c r="KZA6" s="2888" t="s">
        <v>3241</v>
      </c>
      <c r="KZB6" s="2888" t="s">
        <v>3241</v>
      </c>
      <c r="KZC6" s="2888" t="s">
        <v>3241</v>
      </c>
      <c r="KZD6" s="2888" t="s">
        <v>3241</v>
      </c>
      <c r="KZE6" s="2888" t="s">
        <v>3241</v>
      </c>
      <c r="KZF6" s="2888" t="s">
        <v>3241</v>
      </c>
      <c r="KZG6" s="2888" t="s">
        <v>3241</v>
      </c>
      <c r="KZH6" s="2888" t="s">
        <v>3241</v>
      </c>
      <c r="KZI6" s="2888" t="s">
        <v>3241</v>
      </c>
      <c r="KZJ6" s="2888" t="s">
        <v>3241</v>
      </c>
      <c r="KZK6" s="2888" t="s">
        <v>3241</v>
      </c>
      <c r="KZL6" s="2888" t="s">
        <v>3241</v>
      </c>
      <c r="KZM6" s="2888" t="s">
        <v>3241</v>
      </c>
      <c r="KZN6" s="2888" t="s">
        <v>3241</v>
      </c>
      <c r="KZO6" s="2888" t="s">
        <v>3241</v>
      </c>
      <c r="KZP6" s="2888" t="s">
        <v>3241</v>
      </c>
      <c r="KZQ6" s="2888" t="s">
        <v>3241</v>
      </c>
      <c r="KZR6" s="2888" t="s">
        <v>3241</v>
      </c>
      <c r="KZS6" s="2888" t="s">
        <v>3241</v>
      </c>
      <c r="KZT6" s="2888" t="s">
        <v>3241</v>
      </c>
      <c r="KZU6" s="2888" t="s">
        <v>3241</v>
      </c>
      <c r="KZV6" s="2888" t="s">
        <v>3241</v>
      </c>
      <c r="KZW6" s="2888" t="s">
        <v>3241</v>
      </c>
      <c r="KZX6" s="2888" t="s">
        <v>3241</v>
      </c>
      <c r="KZY6" s="2888" t="s">
        <v>3241</v>
      </c>
      <c r="KZZ6" s="2888" t="s">
        <v>3241</v>
      </c>
      <c r="LAA6" s="2888" t="s">
        <v>3241</v>
      </c>
      <c r="LAB6" s="2888" t="s">
        <v>3241</v>
      </c>
      <c r="LAC6" s="2888" t="s">
        <v>3241</v>
      </c>
      <c r="LAD6" s="2888" t="s">
        <v>3241</v>
      </c>
      <c r="LAE6" s="2888" t="s">
        <v>3241</v>
      </c>
      <c r="LAF6" s="2888" t="s">
        <v>3241</v>
      </c>
      <c r="LAG6" s="2888" t="s">
        <v>3241</v>
      </c>
      <c r="LAH6" s="2888" t="s">
        <v>3241</v>
      </c>
      <c r="LAI6" s="2888" t="s">
        <v>3241</v>
      </c>
      <c r="LAJ6" s="2888" t="s">
        <v>3241</v>
      </c>
      <c r="LAK6" s="2888" t="s">
        <v>3241</v>
      </c>
      <c r="LAL6" s="2888" t="s">
        <v>3241</v>
      </c>
      <c r="LAM6" s="2888" t="s">
        <v>3241</v>
      </c>
      <c r="LAN6" s="2888" t="s">
        <v>3241</v>
      </c>
      <c r="LAO6" s="2888" t="s">
        <v>3241</v>
      </c>
      <c r="LAP6" s="2888" t="s">
        <v>3241</v>
      </c>
      <c r="LAQ6" s="2888" t="s">
        <v>3241</v>
      </c>
      <c r="LAR6" s="2888" t="s">
        <v>3241</v>
      </c>
      <c r="LAS6" s="2888" t="s">
        <v>3241</v>
      </c>
      <c r="LAT6" s="2888" t="s">
        <v>3241</v>
      </c>
      <c r="LAU6" s="2888" t="s">
        <v>3241</v>
      </c>
      <c r="LAV6" s="2888" t="s">
        <v>3241</v>
      </c>
      <c r="LAW6" s="2888" t="s">
        <v>3241</v>
      </c>
      <c r="LAX6" s="2888" t="s">
        <v>3241</v>
      </c>
      <c r="LAY6" s="2888" t="s">
        <v>3241</v>
      </c>
      <c r="LAZ6" s="2888" t="s">
        <v>3241</v>
      </c>
      <c r="LBA6" s="2888" t="s">
        <v>3241</v>
      </c>
      <c r="LBB6" s="2888" t="s">
        <v>3241</v>
      </c>
      <c r="LBC6" s="2888" t="s">
        <v>3241</v>
      </c>
      <c r="LBD6" s="2888" t="s">
        <v>3241</v>
      </c>
      <c r="LBE6" s="2888" t="s">
        <v>3241</v>
      </c>
      <c r="LBF6" s="2888" t="s">
        <v>3241</v>
      </c>
      <c r="LBG6" s="2888" t="s">
        <v>3241</v>
      </c>
      <c r="LBH6" s="2888" t="s">
        <v>3241</v>
      </c>
      <c r="LBI6" s="2888" t="s">
        <v>3241</v>
      </c>
      <c r="LBJ6" s="2888" t="s">
        <v>3241</v>
      </c>
      <c r="LBK6" s="2888" t="s">
        <v>3241</v>
      </c>
      <c r="LBL6" s="2888" t="s">
        <v>3241</v>
      </c>
      <c r="LBM6" s="2888" t="s">
        <v>3241</v>
      </c>
      <c r="LBN6" s="2888" t="s">
        <v>3241</v>
      </c>
      <c r="LBO6" s="2888" t="s">
        <v>3241</v>
      </c>
      <c r="LBP6" s="2888" t="s">
        <v>3241</v>
      </c>
      <c r="LBQ6" s="2888" t="s">
        <v>3241</v>
      </c>
      <c r="LBR6" s="2888" t="s">
        <v>3241</v>
      </c>
      <c r="LBS6" s="2888" t="s">
        <v>3241</v>
      </c>
      <c r="LBT6" s="2888" t="s">
        <v>3241</v>
      </c>
      <c r="LBU6" s="2888" t="s">
        <v>3241</v>
      </c>
      <c r="LBV6" s="2888" t="s">
        <v>3241</v>
      </c>
      <c r="LBW6" s="2888" t="s">
        <v>3241</v>
      </c>
      <c r="LBX6" s="2888" t="s">
        <v>3241</v>
      </c>
      <c r="LBY6" s="2888" t="s">
        <v>3241</v>
      </c>
      <c r="LBZ6" s="2888" t="s">
        <v>3241</v>
      </c>
      <c r="LCA6" s="2888" t="s">
        <v>3241</v>
      </c>
      <c r="LCB6" s="2888" t="s">
        <v>3241</v>
      </c>
      <c r="LCC6" s="2888" t="s">
        <v>3241</v>
      </c>
      <c r="LCD6" s="2888" t="s">
        <v>3241</v>
      </c>
      <c r="LCE6" s="2888" t="s">
        <v>3241</v>
      </c>
      <c r="LCF6" s="2888" t="s">
        <v>3241</v>
      </c>
      <c r="LCG6" s="2888" t="s">
        <v>3241</v>
      </c>
      <c r="LCH6" s="2888" t="s">
        <v>3241</v>
      </c>
      <c r="LCI6" s="2888" t="s">
        <v>3241</v>
      </c>
      <c r="LCJ6" s="2888" t="s">
        <v>3241</v>
      </c>
      <c r="LCK6" s="2888" t="s">
        <v>3241</v>
      </c>
      <c r="LCL6" s="2888" t="s">
        <v>3241</v>
      </c>
      <c r="LCM6" s="2888" t="s">
        <v>3241</v>
      </c>
      <c r="LCN6" s="2888" t="s">
        <v>3241</v>
      </c>
      <c r="LCO6" s="2888" t="s">
        <v>3241</v>
      </c>
      <c r="LCP6" s="2888" t="s">
        <v>3241</v>
      </c>
      <c r="LCQ6" s="2888" t="s">
        <v>3241</v>
      </c>
      <c r="LCR6" s="2888" t="s">
        <v>3241</v>
      </c>
      <c r="LCS6" s="2888" t="s">
        <v>3241</v>
      </c>
      <c r="LCT6" s="2888" t="s">
        <v>3241</v>
      </c>
      <c r="LCU6" s="2888" t="s">
        <v>3241</v>
      </c>
      <c r="LCV6" s="2888" t="s">
        <v>3241</v>
      </c>
      <c r="LCW6" s="2888" t="s">
        <v>3241</v>
      </c>
      <c r="LCX6" s="2888" t="s">
        <v>3241</v>
      </c>
      <c r="LCY6" s="2888" t="s">
        <v>3241</v>
      </c>
      <c r="LCZ6" s="2888" t="s">
        <v>3241</v>
      </c>
      <c r="LDA6" s="2888" t="s">
        <v>3241</v>
      </c>
      <c r="LDB6" s="2888" t="s">
        <v>3241</v>
      </c>
      <c r="LDC6" s="2888" t="s">
        <v>3241</v>
      </c>
      <c r="LDD6" s="2888" t="s">
        <v>3241</v>
      </c>
      <c r="LDE6" s="2888" t="s">
        <v>3241</v>
      </c>
      <c r="LDF6" s="2888" t="s">
        <v>3241</v>
      </c>
      <c r="LDG6" s="2888" t="s">
        <v>3241</v>
      </c>
      <c r="LDH6" s="2888" t="s">
        <v>3241</v>
      </c>
      <c r="LDI6" s="2888" t="s">
        <v>3241</v>
      </c>
      <c r="LDJ6" s="2888" t="s">
        <v>3241</v>
      </c>
      <c r="LDK6" s="2888" t="s">
        <v>3241</v>
      </c>
      <c r="LDL6" s="2888" t="s">
        <v>3241</v>
      </c>
      <c r="LDM6" s="2888" t="s">
        <v>3241</v>
      </c>
      <c r="LDN6" s="2888" t="s">
        <v>3241</v>
      </c>
      <c r="LDO6" s="2888" t="s">
        <v>3241</v>
      </c>
      <c r="LDP6" s="2888" t="s">
        <v>3241</v>
      </c>
      <c r="LDQ6" s="2888" t="s">
        <v>3241</v>
      </c>
      <c r="LDR6" s="2888" t="s">
        <v>3241</v>
      </c>
      <c r="LDS6" s="2888" t="s">
        <v>3241</v>
      </c>
      <c r="LDT6" s="2888" t="s">
        <v>3241</v>
      </c>
      <c r="LDU6" s="2888" t="s">
        <v>3241</v>
      </c>
      <c r="LDV6" s="2888" t="s">
        <v>3241</v>
      </c>
      <c r="LDW6" s="2888" t="s">
        <v>3241</v>
      </c>
      <c r="LDX6" s="2888" t="s">
        <v>3241</v>
      </c>
      <c r="LDY6" s="2888" t="s">
        <v>3241</v>
      </c>
      <c r="LDZ6" s="2888" t="s">
        <v>3241</v>
      </c>
      <c r="LEA6" s="2888" t="s">
        <v>3241</v>
      </c>
      <c r="LEB6" s="2888" t="s">
        <v>3241</v>
      </c>
      <c r="LEC6" s="2888" t="s">
        <v>3241</v>
      </c>
      <c r="LED6" s="2888" t="s">
        <v>3241</v>
      </c>
      <c r="LEE6" s="2888" t="s">
        <v>3241</v>
      </c>
      <c r="LEF6" s="2888" t="s">
        <v>3241</v>
      </c>
      <c r="LEG6" s="2888" t="s">
        <v>3241</v>
      </c>
      <c r="LEH6" s="2888" t="s">
        <v>3241</v>
      </c>
      <c r="LEI6" s="2888" t="s">
        <v>3241</v>
      </c>
      <c r="LEJ6" s="2888" t="s">
        <v>3241</v>
      </c>
      <c r="LEK6" s="2888" t="s">
        <v>3241</v>
      </c>
      <c r="LEL6" s="2888" t="s">
        <v>3241</v>
      </c>
      <c r="LEM6" s="2888" t="s">
        <v>3241</v>
      </c>
      <c r="LEN6" s="2888" t="s">
        <v>3241</v>
      </c>
      <c r="LEO6" s="2888" t="s">
        <v>3241</v>
      </c>
      <c r="LEP6" s="2888" t="s">
        <v>3241</v>
      </c>
      <c r="LEQ6" s="2888" t="s">
        <v>3241</v>
      </c>
      <c r="LER6" s="2888" t="s">
        <v>3241</v>
      </c>
      <c r="LES6" s="2888" t="s">
        <v>3241</v>
      </c>
      <c r="LET6" s="2888" t="s">
        <v>3241</v>
      </c>
      <c r="LEU6" s="2888" t="s">
        <v>3241</v>
      </c>
      <c r="LEV6" s="2888" t="s">
        <v>3241</v>
      </c>
      <c r="LEW6" s="2888" t="s">
        <v>3241</v>
      </c>
      <c r="LEX6" s="2888" t="s">
        <v>3241</v>
      </c>
      <c r="LEY6" s="2888" t="s">
        <v>3241</v>
      </c>
      <c r="LEZ6" s="2888" t="s">
        <v>3241</v>
      </c>
      <c r="LFA6" s="2888" t="s">
        <v>3241</v>
      </c>
      <c r="LFB6" s="2888" t="s">
        <v>3241</v>
      </c>
      <c r="LFC6" s="2888" t="s">
        <v>3241</v>
      </c>
      <c r="LFD6" s="2888" t="s">
        <v>3241</v>
      </c>
      <c r="LFE6" s="2888" t="s">
        <v>3241</v>
      </c>
      <c r="LFF6" s="2888" t="s">
        <v>3241</v>
      </c>
      <c r="LFG6" s="2888" t="s">
        <v>3241</v>
      </c>
      <c r="LFH6" s="2888" t="s">
        <v>3241</v>
      </c>
      <c r="LFI6" s="2888" t="s">
        <v>3241</v>
      </c>
      <c r="LFJ6" s="2888" t="s">
        <v>3241</v>
      </c>
      <c r="LFK6" s="2888" t="s">
        <v>3241</v>
      </c>
      <c r="LFL6" s="2888" t="s">
        <v>3241</v>
      </c>
      <c r="LFM6" s="2888" t="s">
        <v>3241</v>
      </c>
      <c r="LFN6" s="2888" t="s">
        <v>3241</v>
      </c>
      <c r="LFO6" s="2888" t="s">
        <v>3241</v>
      </c>
      <c r="LFP6" s="2888" t="s">
        <v>3241</v>
      </c>
      <c r="LFQ6" s="2888" t="s">
        <v>3241</v>
      </c>
      <c r="LFR6" s="2888" t="s">
        <v>3241</v>
      </c>
      <c r="LFS6" s="2888" t="s">
        <v>3241</v>
      </c>
      <c r="LFT6" s="2888" t="s">
        <v>3241</v>
      </c>
      <c r="LFU6" s="2888" t="s">
        <v>3241</v>
      </c>
      <c r="LFV6" s="2888" t="s">
        <v>3241</v>
      </c>
      <c r="LFW6" s="2888" t="s">
        <v>3241</v>
      </c>
      <c r="LFX6" s="2888" t="s">
        <v>3241</v>
      </c>
      <c r="LFY6" s="2888" t="s">
        <v>3241</v>
      </c>
      <c r="LFZ6" s="2888" t="s">
        <v>3241</v>
      </c>
      <c r="LGA6" s="2888" t="s">
        <v>3241</v>
      </c>
      <c r="LGB6" s="2888" t="s">
        <v>3241</v>
      </c>
      <c r="LGC6" s="2888" t="s">
        <v>3241</v>
      </c>
      <c r="LGD6" s="2888" t="s">
        <v>3241</v>
      </c>
      <c r="LGE6" s="2888" t="s">
        <v>3241</v>
      </c>
      <c r="LGF6" s="2888" t="s">
        <v>3241</v>
      </c>
      <c r="LGG6" s="2888" t="s">
        <v>3241</v>
      </c>
      <c r="LGH6" s="2888" t="s">
        <v>3241</v>
      </c>
      <c r="LGI6" s="2888" t="s">
        <v>3241</v>
      </c>
      <c r="LGJ6" s="2888" t="s">
        <v>3241</v>
      </c>
      <c r="LGK6" s="2888" t="s">
        <v>3241</v>
      </c>
      <c r="LGL6" s="2888" t="s">
        <v>3241</v>
      </c>
      <c r="LGM6" s="2888" t="s">
        <v>3241</v>
      </c>
      <c r="LGN6" s="2888" t="s">
        <v>3241</v>
      </c>
      <c r="LGO6" s="2888" t="s">
        <v>3241</v>
      </c>
      <c r="LGP6" s="2888" t="s">
        <v>3241</v>
      </c>
      <c r="LGQ6" s="2888" t="s">
        <v>3241</v>
      </c>
      <c r="LGR6" s="2888" t="s">
        <v>3241</v>
      </c>
      <c r="LGS6" s="2888" t="s">
        <v>3241</v>
      </c>
      <c r="LGT6" s="2888" t="s">
        <v>3241</v>
      </c>
      <c r="LGU6" s="2888" t="s">
        <v>3241</v>
      </c>
      <c r="LGV6" s="2888" t="s">
        <v>3241</v>
      </c>
      <c r="LGW6" s="2888" t="s">
        <v>3241</v>
      </c>
      <c r="LGX6" s="2888" t="s">
        <v>3241</v>
      </c>
      <c r="LGY6" s="2888" t="s">
        <v>3241</v>
      </c>
      <c r="LGZ6" s="2888" t="s">
        <v>3241</v>
      </c>
      <c r="LHA6" s="2888" t="s">
        <v>3241</v>
      </c>
      <c r="LHB6" s="2888" t="s">
        <v>3241</v>
      </c>
      <c r="LHC6" s="2888" t="s">
        <v>3241</v>
      </c>
      <c r="LHD6" s="2888" t="s">
        <v>3241</v>
      </c>
      <c r="LHE6" s="2888" t="s">
        <v>3241</v>
      </c>
      <c r="LHF6" s="2888" t="s">
        <v>3241</v>
      </c>
      <c r="LHG6" s="2888" t="s">
        <v>3241</v>
      </c>
      <c r="LHH6" s="2888" t="s">
        <v>3241</v>
      </c>
      <c r="LHI6" s="2888" t="s">
        <v>3241</v>
      </c>
      <c r="LHJ6" s="2888" t="s">
        <v>3241</v>
      </c>
      <c r="LHK6" s="2888" t="s">
        <v>3241</v>
      </c>
      <c r="LHL6" s="2888" t="s">
        <v>3241</v>
      </c>
      <c r="LHM6" s="2888" t="s">
        <v>3241</v>
      </c>
      <c r="LHN6" s="2888" t="s">
        <v>3241</v>
      </c>
      <c r="LHO6" s="2888" t="s">
        <v>3241</v>
      </c>
      <c r="LHP6" s="2888" t="s">
        <v>3241</v>
      </c>
      <c r="LHQ6" s="2888" t="s">
        <v>3241</v>
      </c>
      <c r="LHR6" s="2888" t="s">
        <v>3241</v>
      </c>
      <c r="LHS6" s="2888" t="s">
        <v>3241</v>
      </c>
      <c r="LHT6" s="2888" t="s">
        <v>3241</v>
      </c>
      <c r="LHU6" s="2888" t="s">
        <v>3241</v>
      </c>
      <c r="LHV6" s="2888" t="s">
        <v>3241</v>
      </c>
      <c r="LHW6" s="2888" t="s">
        <v>3241</v>
      </c>
      <c r="LHX6" s="2888" t="s">
        <v>3241</v>
      </c>
      <c r="LHY6" s="2888" t="s">
        <v>3241</v>
      </c>
      <c r="LHZ6" s="2888" t="s">
        <v>3241</v>
      </c>
      <c r="LIA6" s="2888" t="s">
        <v>3241</v>
      </c>
      <c r="LIB6" s="2888" t="s">
        <v>3241</v>
      </c>
      <c r="LIC6" s="2888" t="s">
        <v>3241</v>
      </c>
      <c r="LID6" s="2888" t="s">
        <v>3241</v>
      </c>
      <c r="LIE6" s="2888" t="s">
        <v>3241</v>
      </c>
      <c r="LIF6" s="2888" t="s">
        <v>3241</v>
      </c>
      <c r="LIG6" s="2888" t="s">
        <v>3241</v>
      </c>
      <c r="LIH6" s="2888" t="s">
        <v>3241</v>
      </c>
      <c r="LII6" s="2888" t="s">
        <v>3241</v>
      </c>
      <c r="LIJ6" s="2888" t="s">
        <v>3241</v>
      </c>
      <c r="LIK6" s="2888" t="s">
        <v>3241</v>
      </c>
      <c r="LIL6" s="2888" t="s">
        <v>3241</v>
      </c>
      <c r="LIM6" s="2888" t="s">
        <v>3241</v>
      </c>
      <c r="LIN6" s="2888" t="s">
        <v>3241</v>
      </c>
      <c r="LIO6" s="2888" t="s">
        <v>3241</v>
      </c>
      <c r="LIP6" s="2888" t="s">
        <v>3241</v>
      </c>
      <c r="LIQ6" s="2888" t="s">
        <v>3241</v>
      </c>
      <c r="LIR6" s="2888" t="s">
        <v>3241</v>
      </c>
      <c r="LIS6" s="2888" t="s">
        <v>3241</v>
      </c>
      <c r="LIT6" s="2888" t="s">
        <v>3241</v>
      </c>
      <c r="LIU6" s="2888" t="s">
        <v>3241</v>
      </c>
      <c r="LIV6" s="2888" t="s">
        <v>3241</v>
      </c>
      <c r="LIW6" s="2888" t="s">
        <v>3241</v>
      </c>
      <c r="LIX6" s="2888" t="s">
        <v>3241</v>
      </c>
      <c r="LIY6" s="2888" t="s">
        <v>3241</v>
      </c>
      <c r="LIZ6" s="2888" t="s">
        <v>3241</v>
      </c>
      <c r="LJA6" s="2888" t="s">
        <v>3241</v>
      </c>
      <c r="LJB6" s="2888" t="s">
        <v>3241</v>
      </c>
      <c r="LJC6" s="2888" t="s">
        <v>3241</v>
      </c>
      <c r="LJD6" s="2888" t="s">
        <v>3241</v>
      </c>
      <c r="LJE6" s="2888" t="s">
        <v>3241</v>
      </c>
      <c r="LJF6" s="2888" t="s">
        <v>3241</v>
      </c>
      <c r="LJG6" s="2888" t="s">
        <v>3241</v>
      </c>
      <c r="LJH6" s="2888" t="s">
        <v>3241</v>
      </c>
      <c r="LJI6" s="2888" t="s">
        <v>3241</v>
      </c>
      <c r="LJJ6" s="2888" t="s">
        <v>3241</v>
      </c>
      <c r="LJK6" s="2888" t="s">
        <v>3241</v>
      </c>
      <c r="LJL6" s="2888" t="s">
        <v>3241</v>
      </c>
      <c r="LJM6" s="2888" t="s">
        <v>3241</v>
      </c>
      <c r="LJN6" s="2888" t="s">
        <v>3241</v>
      </c>
      <c r="LJO6" s="2888" t="s">
        <v>3241</v>
      </c>
      <c r="LJP6" s="2888" t="s">
        <v>3241</v>
      </c>
      <c r="LJQ6" s="2888" t="s">
        <v>3241</v>
      </c>
      <c r="LJR6" s="2888" t="s">
        <v>3241</v>
      </c>
      <c r="LJS6" s="2888" t="s">
        <v>3241</v>
      </c>
      <c r="LJT6" s="2888" t="s">
        <v>3241</v>
      </c>
      <c r="LJU6" s="2888" t="s">
        <v>3241</v>
      </c>
      <c r="LJV6" s="2888" t="s">
        <v>3241</v>
      </c>
      <c r="LJW6" s="2888" t="s">
        <v>3241</v>
      </c>
      <c r="LJX6" s="2888" t="s">
        <v>3241</v>
      </c>
      <c r="LJY6" s="2888" t="s">
        <v>3241</v>
      </c>
      <c r="LJZ6" s="2888" t="s">
        <v>3241</v>
      </c>
      <c r="LKA6" s="2888" t="s">
        <v>3241</v>
      </c>
      <c r="LKB6" s="2888" t="s">
        <v>3241</v>
      </c>
      <c r="LKC6" s="2888" t="s">
        <v>3241</v>
      </c>
      <c r="LKD6" s="2888" t="s">
        <v>3241</v>
      </c>
      <c r="LKE6" s="2888" t="s">
        <v>3241</v>
      </c>
      <c r="LKF6" s="2888" t="s">
        <v>3241</v>
      </c>
      <c r="LKG6" s="2888" t="s">
        <v>3241</v>
      </c>
      <c r="LKH6" s="2888" t="s">
        <v>3241</v>
      </c>
      <c r="LKI6" s="2888" t="s">
        <v>3241</v>
      </c>
      <c r="LKJ6" s="2888" t="s">
        <v>3241</v>
      </c>
      <c r="LKK6" s="2888" t="s">
        <v>3241</v>
      </c>
      <c r="LKL6" s="2888" t="s">
        <v>3241</v>
      </c>
      <c r="LKM6" s="2888" t="s">
        <v>3241</v>
      </c>
      <c r="LKN6" s="2888" t="s">
        <v>3241</v>
      </c>
      <c r="LKO6" s="2888" t="s">
        <v>3241</v>
      </c>
      <c r="LKP6" s="2888" t="s">
        <v>3241</v>
      </c>
      <c r="LKQ6" s="2888" t="s">
        <v>3241</v>
      </c>
      <c r="LKR6" s="2888" t="s">
        <v>3241</v>
      </c>
      <c r="LKS6" s="2888" t="s">
        <v>3241</v>
      </c>
      <c r="LKT6" s="2888" t="s">
        <v>3241</v>
      </c>
      <c r="LKU6" s="2888" t="s">
        <v>3241</v>
      </c>
      <c r="LKV6" s="2888" t="s">
        <v>3241</v>
      </c>
      <c r="LKW6" s="2888" t="s">
        <v>3241</v>
      </c>
      <c r="LKX6" s="2888" t="s">
        <v>3241</v>
      </c>
      <c r="LKY6" s="2888" t="s">
        <v>3241</v>
      </c>
      <c r="LKZ6" s="2888" t="s">
        <v>3241</v>
      </c>
      <c r="LLA6" s="2888" t="s">
        <v>3241</v>
      </c>
      <c r="LLB6" s="2888" t="s">
        <v>3241</v>
      </c>
      <c r="LLC6" s="2888" t="s">
        <v>3241</v>
      </c>
      <c r="LLD6" s="2888" t="s">
        <v>3241</v>
      </c>
      <c r="LLE6" s="2888" t="s">
        <v>3241</v>
      </c>
      <c r="LLF6" s="2888" t="s">
        <v>3241</v>
      </c>
      <c r="LLG6" s="2888" t="s">
        <v>3241</v>
      </c>
      <c r="LLH6" s="2888" t="s">
        <v>3241</v>
      </c>
      <c r="LLI6" s="2888" t="s">
        <v>3241</v>
      </c>
      <c r="LLJ6" s="2888" t="s">
        <v>3241</v>
      </c>
      <c r="LLK6" s="2888" t="s">
        <v>3241</v>
      </c>
      <c r="LLL6" s="2888" t="s">
        <v>3241</v>
      </c>
      <c r="LLM6" s="2888" t="s">
        <v>3241</v>
      </c>
      <c r="LLN6" s="2888" t="s">
        <v>3241</v>
      </c>
      <c r="LLO6" s="2888" t="s">
        <v>3241</v>
      </c>
      <c r="LLP6" s="2888" t="s">
        <v>3241</v>
      </c>
      <c r="LLQ6" s="2888" t="s">
        <v>3241</v>
      </c>
      <c r="LLR6" s="2888" t="s">
        <v>3241</v>
      </c>
      <c r="LLS6" s="2888" t="s">
        <v>3241</v>
      </c>
      <c r="LLT6" s="2888" t="s">
        <v>3241</v>
      </c>
      <c r="LLU6" s="2888" t="s">
        <v>3241</v>
      </c>
      <c r="LLV6" s="2888" t="s">
        <v>3241</v>
      </c>
      <c r="LLW6" s="2888" t="s">
        <v>3241</v>
      </c>
      <c r="LLX6" s="2888" t="s">
        <v>3241</v>
      </c>
      <c r="LLY6" s="2888" t="s">
        <v>3241</v>
      </c>
      <c r="LLZ6" s="2888" t="s">
        <v>3241</v>
      </c>
      <c r="LMA6" s="2888" t="s">
        <v>3241</v>
      </c>
      <c r="LMB6" s="2888" t="s">
        <v>3241</v>
      </c>
      <c r="LMC6" s="2888" t="s">
        <v>3241</v>
      </c>
      <c r="LMD6" s="2888" t="s">
        <v>3241</v>
      </c>
      <c r="LME6" s="2888" t="s">
        <v>3241</v>
      </c>
      <c r="LMF6" s="2888" t="s">
        <v>3241</v>
      </c>
      <c r="LMG6" s="2888" t="s">
        <v>3241</v>
      </c>
      <c r="LMH6" s="2888" t="s">
        <v>3241</v>
      </c>
      <c r="LMI6" s="2888" t="s">
        <v>3241</v>
      </c>
      <c r="LMJ6" s="2888" t="s">
        <v>3241</v>
      </c>
      <c r="LMK6" s="2888" t="s">
        <v>3241</v>
      </c>
      <c r="LML6" s="2888" t="s">
        <v>3241</v>
      </c>
      <c r="LMM6" s="2888" t="s">
        <v>3241</v>
      </c>
      <c r="LMN6" s="2888" t="s">
        <v>3241</v>
      </c>
      <c r="LMO6" s="2888" t="s">
        <v>3241</v>
      </c>
      <c r="LMP6" s="2888" t="s">
        <v>3241</v>
      </c>
      <c r="LMQ6" s="2888" t="s">
        <v>3241</v>
      </c>
      <c r="LMR6" s="2888" t="s">
        <v>3241</v>
      </c>
      <c r="LMS6" s="2888" t="s">
        <v>3241</v>
      </c>
      <c r="LMT6" s="2888" t="s">
        <v>3241</v>
      </c>
      <c r="LMU6" s="2888" t="s">
        <v>3241</v>
      </c>
      <c r="LMV6" s="2888" t="s">
        <v>3241</v>
      </c>
      <c r="LMW6" s="2888" t="s">
        <v>3241</v>
      </c>
      <c r="LMX6" s="2888" t="s">
        <v>3241</v>
      </c>
      <c r="LMY6" s="2888" t="s">
        <v>3241</v>
      </c>
      <c r="LMZ6" s="2888" t="s">
        <v>3241</v>
      </c>
      <c r="LNA6" s="2888" t="s">
        <v>3241</v>
      </c>
      <c r="LNB6" s="2888" t="s">
        <v>3241</v>
      </c>
      <c r="LNC6" s="2888" t="s">
        <v>3241</v>
      </c>
      <c r="LND6" s="2888" t="s">
        <v>3241</v>
      </c>
      <c r="LNE6" s="2888" t="s">
        <v>3241</v>
      </c>
      <c r="LNF6" s="2888" t="s">
        <v>3241</v>
      </c>
      <c r="LNG6" s="2888" t="s">
        <v>3241</v>
      </c>
      <c r="LNH6" s="2888" t="s">
        <v>3241</v>
      </c>
      <c r="LNI6" s="2888" t="s">
        <v>3241</v>
      </c>
      <c r="LNJ6" s="2888" t="s">
        <v>3241</v>
      </c>
      <c r="LNK6" s="2888" t="s">
        <v>3241</v>
      </c>
      <c r="LNL6" s="2888" t="s">
        <v>3241</v>
      </c>
      <c r="LNM6" s="2888" t="s">
        <v>3241</v>
      </c>
      <c r="LNN6" s="2888" t="s">
        <v>3241</v>
      </c>
      <c r="LNO6" s="2888" t="s">
        <v>3241</v>
      </c>
      <c r="LNP6" s="2888" t="s">
        <v>3241</v>
      </c>
      <c r="LNQ6" s="2888" t="s">
        <v>3241</v>
      </c>
      <c r="LNR6" s="2888" t="s">
        <v>3241</v>
      </c>
      <c r="LNS6" s="2888" t="s">
        <v>3241</v>
      </c>
      <c r="LNT6" s="2888" t="s">
        <v>3241</v>
      </c>
      <c r="LNU6" s="2888" t="s">
        <v>3241</v>
      </c>
      <c r="LNV6" s="2888" t="s">
        <v>3241</v>
      </c>
      <c r="LNW6" s="2888" t="s">
        <v>3241</v>
      </c>
      <c r="LNX6" s="2888" t="s">
        <v>3241</v>
      </c>
      <c r="LNY6" s="2888" t="s">
        <v>3241</v>
      </c>
      <c r="LNZ6" s="2888" t="s">
        <v>3241</v>
      </c>
      <c r="LOA6" s="2888" t="s">
        <v>3241</v>
      </c>
      <c r="LOB6" s="2888" t="s">
        <v>3241</v>
      </c>
      <c r="LOC6" s="2888" t="s">
        <v>3241</v>
      </c>
      <c r="LOD6" s="2888" t="s">
        <v>3241</v>
      </c>
      <c r="LOE6" s="2888" t="s">
        <v>3241</v>
      </c>
      <c r="LOF6" s="2888" t="s">
        <v>3241</v>
      </c>
      <c r="LOG6" s="2888" t="s">
        <v>3241</v>
      </c>
      <c r="LOH6" s="2888" t="s">
        <v>3241</v>
      </c>
      <c r="LOI6" s="2888" t="s">
        <v>3241</v>
      </c>
      <c r="LOJ6" s="2888" t="s">
        <v>3241</v>
      </c>
      <c r="LOK6" s="2888" t="s">
        <v>3241</v>
      </c>
      <c r="LOL6" s="2888" t="s">
        <v>3241</v>
      </c>
      <c r="LOM6" s="2888" t="s">
        <v>3241</v>
      </c>
      <c r="LON6" s="2888" t="s">
        <v>3241</v>
      </c>
      <c r="LOO6" s="2888" t="s">
        <v>3241</v>
      </c>
      <c r="LOP6" s="2888" t="s">
        <v>3241</v>
      </c>
      <c r="LOQ6" s="2888" t="s">
        <v>3241</v>
      </c>
      <c r="LOR6" s="2888" t="s">
        <v>3241</v>
      </c>
      <c r="LOS6" s="2888" t="s">
        <v>3241</v>
      </c>
      <c r="LOT6" s="2888" t="s">
        <v>3241</v>
      </c>
      <c r="LOU6" s="2888" t="s">
        <v>3241</v>
      </c>
      <c r="LOV6" s="2888" t="s">
        <v>3241</v>
      </c>
      <c r="LOW6" s="2888" t="s">
        <v>3241</v>
      </c>
      <c r="LOX6" s="2888" t="s">
        <v>3241</v>
      </c>
      <c r="LOY6" s="2888" t="s">
        <v>3241</v>
      </c>
      <c r="LOZ6" s="2888" t="s">
        <v>3241</v>
      </c>
      <c r="LPA6" s="2888" t="s">
        <v>3241</v>
      </c>
      <c r="LPB6" s="2888" t="s">
        <v>3241</v>
      </c>
      <c r="LPC6" s="2888" t="s">
        <v>3241</v>
      </c>
      <c r="LPD6" s="2888" t="s">
        <v>3241</v>
      </c>
      <c r="LPE6" s="2888" t="s">
        <v>3241</v>
      </c>
      <c r="LPF6" s="2888" t="s">
        <v>3241</v>
      </c>
      <c r="LPG6" s="2888" t="s">
        <v>3241</v>
      </c>
      <c r="LPH6" s="2888" t="s">
        <v>3241</v>
      </c>
      <c r="LPI6" s="2888" t="s">
        <v>3241</v>
      </c>
      <c r="LPJ6" s="2888" t="s">
        <v>3241</v>
      </c>
      <c r="LPK6" s="2888" t="s">
        <v>3241</v>
      </c>
      <c r="LPL6" s="2888" t="s">
        <v>3241</v>
      </c>
      <c r="LPM6" s="2888" t="s">
        <v>3241</v>
      </c>
      <c r="LPN6" s="2888" t="s">
        <v>3241</v>
      </c>
      <c r="LPO6" s="2888" t="s">
        <v>3241</v>
      </c>
      <c r="LPP6" s="2888" t="s">
        <v>3241</v>
      </c>
      <c r="LPQ6" s="2888" t="s">
        <v>3241</v>
      </c>
      <c r="LPR6" s="2888" t="s">
        <v>3241</v>
      </c>
      <c r="LPS6" s="2888" t="s">
        <v>3241</v>
      </c>
      <c r="LPT6" s="2888" t="s">
        <v>3241</v>
      </c>
      <c r="LPU6" s="2888" t="s">
        <v>3241</v>
      </c>
      <c r="LPV6" s="2888" t="s">
        <v>3241</v>
      </c>
      <c r="LPW6" s="2888" t="s">
        <v>3241</v>
      </c>
      <c r="LPX6" s="2888" t="s">
        <v>3241</v>
      </c>
      <c r="LPY6" s="2888" t="s">
        <v>3241</v>
      </c>
      <c r="LPZ6" s="2888" t="s">
        <v>3241</v>
      </c>
      <c r="LQA6" s="2888" t="s">
        <v>3241</v>
      </c>
      <c r="LQB6" s="2888" t="s">
        <v>3241</v>
      </c>
      <c r="LQC6" s="2888" t="s">
        <v>3241</v>
      </c>
      <c r="LQD6" s="2888" t="s">
        <v>3241</v>
      </c>
      <c r="LQE6" s="2888" t="s">
        <v>3241</v>
      </c>
      <c r="LQF6" s="2888" t="s">
        <v>3241</v>
      </c>
      <c r="LQG6" s="2888" t="s">
        <v>3241</v>
      </c>
      <c r="LQH6" s="2888" t="s">
        <v>3241</v>
      </c>
      <c r="LQI6" s="2888" t="s">
        <v>3241</v>
      </c>
      <c r="LQJ6" s="2888" t="s">
        <v>3241</v>
      </c>
      <c r="LQK6" s="2888" t="s">
        <v>3241</v>
      </c>
      <c r="LQL6" s="2888" t="s">
        <v>3241</v>
      </c>
      <c r="LQM6" s="2888" t="s">
        <v>3241</v>
      </c>
      <c r="LQN6" s="2888" t="s">
        <v>3241</v>
      </c>
      <c r="LQO6" s="2888" t="s">
        <v>3241</v>
      </c>
      <c r="LQP6" s="2888" t="s">
        <v>3241</v>
      </c>
      <c r="LQQ6" s="2888" t="s">
        <v>3241</v>
      </c>
      <c r="LQR6" s="2888" t="s">
        <v>3241</v>
      </c>
      <c r="LQS6" s="2888" t="s">
        <v>3241</v>
      </c>
      <c r="LQT6" s="2888" t="s">
        <v>3241</v>
      </c>
      <c r="LQU6" s="2888" t="s">
        <v>3241</v>
      </c>
      <c r="LQV6" s="2888" t="s">
        <v>3241</v>
      </c>
      <c r="LQW6" s="2888" t="s">
        <v>3241</v>
      </c>
      <c r="LQX6" s="2888" t="s">
        <v>3241</v>
      </c>
      <c r="LQY6" s="2888" t="s">
        <v>3241</v>
      </c>
      <c r="LQZ6" s="2888" t="s">
        <v>3241</v>
      </c>
      <c r="LRA6" s="2888" t="s">
        <v>3241</v>
      </c>
      <c r="LRB6" s="2888" t="s">
        <v>3241</v>
      </c>
      <c r="LRC6" s="2888" t="s">
        <v>3241</v>
      </c>
      <c r="LRD6" s="2888" t="s">
        <v>3241</v>
      </c>
      <c r="LRE6" s="2888" t="s">
        <v>3241</v>
      </c>
      <c r="LRF6" s="2888" t="s">
        <v>3241</v>
      </c>
      <c r="LRG6" s="2888" t="s">
        <v>3241</v>
      </c>
      <c r="LRH6" s="2888" t="s">
        <v>3241</v>
      </c>
      <c r="LRI6" s="2888" t="s">
        <v>3241</v>
      </c>
      <c r="LRJ6" s="2888" t="s">
        <v>3241</v>
      </c>
      <c r="LRK6" s="2888" t="s">
        <v>3241</v>
      </c>
      <c r="LRL6" s="2888" t="s">
        <v>3241</v>
      </c>
      <c r="LRM6" s="2888" t="s">
        <v>3241</v>
      </c>
      <c r="LRN6" s="2888" t="s">
        <v>3241</v>
      </c>
      <c r="LRO6" s="2888" t="s">
        <v>3241</v>
      </c>
      <c r="LRP6" s="2888" t="s">
        <v>3241</v>
      </c>
      <c r="LRQ6" s="2888" t="s">
        <v>3241</v>
      </c>
      <c r="LRR6" s="2888" t="s">
        <v>3241</v>
      </c>
      <c r="LRS6" s="2888" t="s">
        <v>3241</v>
      </c>
      <c r="LRT6" s="2888" t="s">
        <v>3241</v>
      </c>
      <c r="LRU6" s="2888" t="s">
        <v>3241</v>
      </c>
      <c r="LRV6" s="2888" t="s">
        <v>3241</v>
      </c>
      <c r="LRW6" s="2888" t="s">
        <v>3241</v>
      </c>
      <c r="LRX6" s="2888" t="s">
        <v>3241</v>
      </c>
      <c r="LRY6" s="2888" t="s">
        <v>3241</v>
      </c>
      <c r="LRZ6" s="2888" t="s">
        <v>3241</v>
      </c>
      <c r="LSA6" s="2888" t="s">
        <v>3241</v>
      </c>
      <c r="LSB6" s="2888" t="s">
        <v>3241</v>
      </c>
      <c r="LSC6" s="2888" t="s">
        <v>3241</v>
      </c>
      <c r="LSD6" s="2888" t="s">
        <v>3241</v>
      </c>
      <c r="LSE6" s="2888" t="s">
        <v>3241</v>
      </c>
      <c r="LSF6" s="2888" t="s">
        <v>3241</v>
      </c>
      <c r="LSG6" s="2888" t="s">
        <v>3241</v>
      </c>
      <c r="LSH6" s="2888" t="s">
        <v>3241</v>
      </c>
      <c r="LSI6" s="2888" t="s">
        <v>3241</v>
      </c>
      <c r="LSJ6" s="2888" t="s">
        <v>3241</v>
      </c>
      <c r="LSK6" s="2888" t="s">
        <v>3241</v>
      </c>
      <c r="LSL6" s="2888" t="s">
        <v>3241</v>
      </c>
      <c r="LSM6" s="2888" t="s">
        <v>3241</v>
      </c>
      <c r="LSN6" s="2888" t="s">
        <v>3241</v>
      </c>
      <c r="LSO6" s="2888" t="s">
        <v>3241</v>
      </c>
      <c r="LSP6" s="2888" t="s">
        <v>3241</v>
      </c>
      <c r="LSQ6" s="2888" t="s">
        <v>3241</v>
      </c>
      <c r="LSR6" s="2888" t="s">
        <v>3241</v>
      </c>
      <c r="LSS6" s="2888" t="s">
        <v>3241</v>
      </c>
      <c r="LST6" s="2888" t="s">
        <v>3241</v>
      </c>
      <c r="LSU6" s="2888" t="s">
        <v>3241</v>
      </c>
      <c r="LSV6" s="2888" t="s">
        <v>3241</v>
      </c>
      <c r="LSW6" s="2888" t="s">
        <v>3241</v>
      </c>
      <c r="LSX6" s="2888" t="s">
        <v>3241</v>
      </c>
      <c r="LSY6" s="2888" t="s">
        <v>3241</v>
      </c>
      <c r="LSZ6" s="2888" t="s">
        <v>3241</v>
      </c>
      <c r="LTA6" s="2888" t="s">
        <v>3241</v>
      </c>
      <c r="LTB6" s="2888" t="s">
        <v>3241</v>
      </c>
      <c r="LTC6" s="2888" t="s">
        <v>3241</v>
      </c>
      <c r="LTD6" s="2888" t="s">
        <v>3241</v>
      </c>
      <c r="LTE6" s="2888" t="s">
        <v>3241</v>
      </c>
      <c r="LTF6" s="2888" t="s">
        <v>3241</v>
      </c>
      <c r="LTG6" s="2888" t="s">
        <v>3241</v>
      </c>
      <c r="LTH6" s="2888" t="s">
        <v>3241</v>
      </c>
      <c r="LTI6" s="2888" t="s">
        <v>3241</v>
      </c>
      <c r="LTJ6" s="2888" t="s">
        <v>3241</v>
      </c>
      <c r="LTK6" s="2888" t="s">
        <v>3241</v>
      </c>
      <c r="LTL6" s="2888" t="s">
        <v>3241</v>
      </c>
      <c r="LTM6" s="2888" t="s">
        <v>3241</v>
      </c>
      <c r="LTN6" s="2888" t="s">
        <v>3241</v>
      </c>
      <c r="LTO6" s="2888" t="s">
        <v>3241</v>
      </c>
      <c r="LTP6" s="2888" t="s">
        <v>3241</v>
      </c>
      <c r="LTQ6" s="2888" t="s">
        <v>3241</v>
      </c>
      <c r="LTR6" s="2888" t="s">
        <v>3241</v>
      </c>
      <c r="LTS6" s="2888" t="s">
        <v>3241</v>
      </c>
      <c r="LTT6" s="2888" t="s">
        <v>3241</v>
      </c>
      <c r="LTU6" s="2888" t="s">
        <v>3241</v>
      </c>
      <c r="LTV6" s="2888" t="s">
        <v>3241</v>
      </c>
      <c r="LTW6" s="2888" t="s">
        <v>3241</v>
      </c>
      <c r="LTX6" s="2888" t="s">
        <v>3241</v>
      </c>
      <c r="LTY6" s="2888" t="s">
        <v>3241</v>
      </c>
      <c r="LTZ6" s="2888" t="s">
        <v>3241</v>
      </c>
      <c r="LUA6" s="2888" t="s">
        <v>3241</v>
      </c>
      <c r="LUB6" s="2888" t="s">
        <v>3241</v>
      </c>
      <c r="LUC6" s="2888" t="s">
        <v>3241</v>
      </c>
      <c r="LUD6" s="2888" t="s">
        <v>3241</v>
      </c>
      <c r="LUE6" s="2888" t="s">
        <v>3241</v>
      </c>
      <c r="LUF6" s="2888" t="s">
        <v>3241</v>
      </c>
      <c r="LUG6" s="2888" t="s">
        <v>3241</v>
      </c>
      <c r="LUH6" s="2888" t="s">
        <v>3241</v>
      </c>
      <c r="LUI6" s="2888" t="s">
        <v>3241</v>
      </c>
      <c r="LUJ6" s="2888" t="s">
        <v>3241</v>
      </c>
      <c r="LUK6" s="2888" t="s">
        <v>3241</v>
      </c>
      <c r="LUL6" s="2888" t="s">
        <v>3241</v>
      </c>
      <c r="LUM6" s="2888" t="s">
        <v>3241</v>
      </c>
      <c r="LUN6" s="2888" t="s">
        <v>3241</v>
      </c>
      <c r="LUO6" s="2888" t="s">
        <v>3241</v>
      </c>
      <c r="LUP6" s="2888" t="s">
        <v>3241</v>
      </c>
      <c r="LUQ6" s="2888" t="s">
        <v>3241</v>
      </c>
      <c r="LUR6" s="2888" t="s">
        <v>3241</v>
      </c>
      <c r="LUS6" s="2888" t="s">
        <v>3241</v>
      </c>
      <c r="LUT6" s="2888" t="s">
        <v>3241</v>
      </c>
      <c r="LUU6" s="2888" t="s">
        <v>3241</v>
      </c>
      <c r="LUV6" s="2888" t="s">
        <v>3241</v>
      </c>
      <c r="LUW6" s="2888" t="s">
        <v>3241</v>
      </c>
      <c r="LUX6" s="2888" t="s">
        <v>3241</v>
      </c>
      <c r="LUY6" s="2888" t="s">
        <v>3241</v>
      </c>
      <c r="LUZ6" s="2888" t="s">
        <v>3241</v>
      </c>
      <c r="LVA6" s="2888" t="s">
        <v>3241</v>
      </c>
      <c r="LVB6" s="2888" t="s">
        <v>3241</v>
      </c>
      <c r="LVC6" s="2888" t="s">
        <v>3241</v>
      </c>
      <c r="LVD6" s="2888" t="s">
        <v>3241</v>
      </c>
      <c r="LVE6" s="2888" t="s">
        <v>3241</v>
      </c>
      <c r="LVF6" s="2888" t="s">
        <v>3241</v>
      </c>
      <c r="LVG6" s="2888" t="s">
        <v>3241</v>
      </c>
      <c r="LVH6" s="2888" t="s">
        <v>3241</v>
      </c>
      <c r="LVI6" s="2888" t="s">
        <v>3241</v>
      </c>
      <c r="LVJ6" s="2888" t="s">
        <v>3241</v>
      </c>
      <c r="LVK6" s="2888" t="s">
        <v>3241</v>
      </c>
      <c r="LVL6" s="2888" t="s">
        <v>3241</v>
      </c>
      <c r="LVM6" s="2888" t="s">
        <v>3241</v>
      </c>
      <c r="LVN6" s="2888" t="s">
        <v>3241</v>
      </c>
      <c r="LVO6" s="2888" t="s">
        <v>3241</v>
      </c>
      <c r="LVP6" s="2888" t="s">
        <v>3241</v>
      </c>
      <c r="LVQ6" s="2888" t="s">
        <v>3241</v>
      </c>
      <c r="LVR6" s="2888" t="s">
        <v>3241</v>
      </c>
      <c r="LVS6" s="2888" t="s">
        <v>3241</v>
      </c>
      <c r="LVT6" s="2888" t="s">
        <v>3241</v>
      </c>
      <c r="LVU6" s="2888" t="s">
        <v>3241</v>
      </c>
      <c r="LVV6" s="2888" t="s">
        <v>3241</v>
      </c>
      <c r="LVW6" s="2888" t="s">
        <v>3241</v>
      </c>
      <c r="LVX6" s="2888" t="s">
        <v>3241</v>
      </c>
      <c r="LVY6" s="2888" t="s">
        <v>3241</v>
      </c>
      <c r="LVZ6" s="2888" t="s">
        <v>3241</v>
      </c>
      <c r="LWA6" s="2888" t="s">
        <v>3241</v>
      </c>
      <c r="LWB6" s="2888" t="s">
        <v>3241</v>
      </c>
      <c r="LWC6" s="2888" t="s">
        <v>3241</v>
      </c>
      <c r="LWD6" s="2888" t="s">
        <v>3241</v>
      </c>
      <c r="LWE6" s="2888" t="s">
        <v>3241</v>
      </c>
      <c r="LWF6" s="2888" t="s">
        <v>3241</v>
      </c>
      <c r="LWG6" s="2888" t="s">
        <v>3241</v>
      </c>
      <c r="LWH6" s="2888" t="s">
        <v>3241</v>
      </c>
      <c r="LWI6" s="2888" t="s">
        <v>3241</v>
      </c>
      <c r="LWJ6" s="2888" t="s">
        <v>3241</v>
      </c>
      <c r="LWK6" s="2888" t="s">
        <v>3241</v>
      </c>
      <c r="LWL6" s="2888" t="s">
        <v>3241</v>
      </c>
      <c r="LWM6" s="2888" t="s">
        <v>3241</v>
      </c>
      <c r="LWN6" s="2888" t="s">
        <v>3241</v>
      </c>
      <c r="LWO6" s="2888" t="s">
        <v>3241</v>
      </c>
      <c r="LWP6" s="2888" t="s">
        <v>3241</v>
      </c>
      <c r="LWQ6" s="2888" t="s">
        <v>3241</v>
      </c>
      <c r="LWR6" s="2888" t="s">
        <v>3241</v>
      </c>
      <c r="LWS6" s="2888" t="s">
        <v>3241</v>
      </c>
      <c r="LWT6" s="2888" t="s">
        <v>3241</v>
      </c>
      <c r="LWU6" s="2888" t="s">
        <v>3241</v>
      </c>
      <c r="LWV6" s="2888" t="s">
        <v>3241</v>
      </c>
      <c r="LWW6" s="2888" t="s">
        <v>3241</v>
      </c>
      <c r="LWX6" s="2888" t="s">
        <v>3241</v>
      </c>
      <c r="LWY6" s="2888" t="s">
        <v>3241</v>
      </c>
      <c r="LWZ6" s="2888" t="s">
        <v>3241</v>
      </c>
      <c r="LXA6" s="2888" t="s">
        <v>3241</v>
      </c>
      <c r="LXB6" s="2888" t="s">
        <v>3241</v>
      </c>
      <c r="LXC6" s="2888" t="s">
        <v>3241</v>
      </c>
      <c r="LXD6" s="2888" t="s">
        <v>3241</v>
      </c>
      <c r="LXE6" s="2888" t="s">
        <v>3241</v>
      </c>
      <c r="LXF6" s="2888" t="s">
        <v>3241</v>
      </c>
      <c r="LXG6" s="2888" t="s">
        <v>3241</v>
      </c>
      <c r="LXH6" s="2888" t="s">
        <v>3241</v>
      </c>
      <c r="LXI6" s="2888" t="s">
        <v>3241</v>
      </c>
      <c r="LXJ6" s="2888" t="s">
        <v>3241</v>
      </c>
      <c r="LXK6" s="2888" t="s">
        <v>3241</v>
      </c>
      <c r="LXL6" s="2888" t="s">
        <v>3241</v>
      </c>
      <c r="LXM6" s="2888" t="s">
        <v>3241</v>
      </c>
      <c r="LXN6" s="2888" t="s">
        <v>3241</v>
      </c>
      <c r="LXO6" s="2888" t="s">
        <v>3241</v>
      </c>
      <c r="LXP6" s="2888" t="s">
        <v>3241</v>
      </c>
      <c r="LXQ6" s="2888" t="s">
        <v>3241</v>
      </c>
      <c r="LXR6" s="2888" t="s">
        <v>3241</v>
      </c>
      <c r="LXS6" s="2888" t="s">
        <v>3241</v>
      </c>
      <c r="LXT6" s="2888" t="s">
        <v>3241</v>
      </c>
      <c r="LXU6" s="2888" t="s">
        <v>3241</v>
      </c>
      <c r="LXV6" s="2888" t="s">
        <v>3241</v>
      </c>
      <c r="LXW6" s="2888" t="s">
        <v>3241</v>
      </c>
      <c r="LXX6" s="2888" t="s">
        <v>3241</v>
      </c>
      <c r="LXY6" s="2888" t="s">
        <v>3241</v>
      </c>
      <c r="LXZ6" s="2888" t="s">
        <v>3241</v>
      </c>
      <c r="LYA6" s="2888" t="s">
        <v>3241</v>
      </c>
      <c r="LYB6" s="2888" t="s">
        <v>3241</v>
      </c>
      <c r="LYC6" s="2888" t="s">
        <v>3241</v>
      </c>
      <c r="LYD6" s="2888" t="s">
        <v>3241</v>
      </c>
      <c r="LYE6" s="2888" t="s">
        <v>3241</v>
      </c>
      <c r="LYF6" s="2888" t="s">
        <v>3241</v>
      </c>
      <c r="LYG6" s="2888" t="s">
        <v>3241</v>
      </c>
      <c r="LYH6" s="2888" t="s">
        <v>3241</v>
      </c>
      <c r="LYI6" s="2888" t="s">
        <v>3241</v>
      </c>
      <c r="LYJ6" s="2888" t="s">
        <v>3241</v>
      </c>
      <c r="LYK6" s="2888" t="s">
        <v>3241</v>
      </c>
      <c r="LYL6" s="2888" t="s">
        <v>3241</v>
      </c>
      <c r="LYM6" s="2888" t="s">
        <v>3241</v>
      </c>
      <c r="LYN6" s="2888" t="s">
        <v>3241</v>
      </c>
      <c r="LYO6" s="2888" t="s">
        <v>3241</v>
      </c>
      <c r="LYP6" s="2888" t="s">
        <v>3241</v>
      </c>
      <c r="LYQ6" s="2888" t="s">
        <v>3241</v>
      </c>
      <c r="LYR6" s="2888" t="s">
        <v>3241</v>
      </c>
      <c r="LYS6" s="2888" t="s">
        <v>3241</v>
      </c>
      <c r="LYT6" s="2888" t="s">
        <v>3241</v>
      </c>
      <c r="LYU6" s="2888" t="s">
        <v>3241</v>
      </c>
      <c r="LYV6" s="2888" t="s">
        <v>3241</v>
      </c>
      <c r="LYW6" s="2888" t="s">
        <v>3241</v>
      </c>
      <c r="LYX6" s="2888" t="s">
        <v>3241</v>
      </c>
      <c r="LYY6" s="2888" t="s">
        <v>3241</v>
      </c>
      <c r="LYZ6" s="2888" t="s">
        <v>3241</v>
      </c>
      <c r="LZA6" s="2888" t="s">
        <v>3241</v>
      </c>
      <c r="LZB6" s="2888" t="s">
        <v>3241</v>
      </c>
      <c r="LZC6" s="2888" t="s">
        <v>3241</v>
      </c>
      <c r="LZD6" s="2888" t="s">
        <v>3241</v>
      </c>
      <c r="LZE6" s="2888" t="s">
        <v>3241</v>
      </c>
      <c r="LZF6" s="2888" t="s">
        <v>3241</v>
      </c>
      <c r="LZG6" s="2888" t="s">
        <v>3241</v>
      </c>
      <c r="LZH6" s="2888" t="s">
        <v>3241</v>
      </c>
      <c r="LZI6" s="2888" t="s">
        <v>3241</v>
      </c>
      <c r="LZJ6" s="2888" t="s">
        <v>3241</v>
      </c>
      <c r="LZK6" s="2888" t="s">
        <v>3241</v>
      </c>
      <c r="LZL6" s="2888" t="s">
        <v>3241</v>
      </c>
      <c r="LZM6" s="2888" t="s">
        <v>3241</v>
      </c>
      <c r="LZN6" s="2888" t="s">
        <v>3241</v>
      </c>
      <c r="LZO6" s="2888" t="s">
        <v>3241</v>
      </c>
      <c r="LZP6" s="2888" t="s">
        <v>3241</v>
      </c>
      <c r="LZQ6" s="2888" t="s">
        <v>3241</v>
      </c>
      <c r="LZR6" s="2888" t="s">
        <v>3241</v>
      </c>
      <c r="LZS6" s="2888" t="s">
        <v>3241</v>
      </c>
      <c r="LZT6" s="2888" t="s">
        <v>3241</v>
      </c>
      <c r="LZU6" s="2888" t="s">
        <v>3241</v>
      </c>
      <c r="LZV6" s="2888" t="s">
        <v>3241</v>
      </c>
      <c r="LZW6" s="2888" t="s">
        <v>3241</v>
      </c>
      <c r="LZX6" s="2888" t="s">
        <v>3241</v>
      </c>
      <c r="LZY6" s="2888" t="s">
        <v>3241</v>
      </c>
      <c r="LZZ6" s="2888" t="s">
        <v>3241</v>
      </c>
      <c r="MAA6" s="2888" t="s">
        <v>3241</v>
      </c>
      <c r="MAB6" s="2888" t="s">
        <v>3241</v>
      </c>
      <c r="MAC6" s="2888" t="s">
        <v>3241</v>
      </c>
      <c r="MAD6" s="2888" t="s">
        <v>3241</v>
      </c>
      <c r="MAE6" s="2888" t="s">
        <v>3241</v>
      </c>
      <c r="MAF6" s="2888" t="s">
        <v>3241</v>
      </c>
      <c r="MAG6" s="2888" t="s">
        <v>3241</v>
      </c>
      <c r="MAH6" s="2888" t="s">
        <v>3241</v>
      </c>
      <c r="MAI6" s="2888" t="s">
        <v>3241</v>
      </c>
      <c r="MAJ6" s="2888" t="s">
        <v>3241</v>
      </c>
      <c r="MAK6" s="2888" t="s">
        <v>3241</v>
      </c>
      <c r="MAL6" s="2888" t="s">
        <v>3241</v>
      </c>
      <c r="MAM6" s="2888" t="s">
        <v>3241</v>
      </c>
      <c r="MAN6" s="2888" t="s">
        <v>3241</v>
      </c>
      <c r="MAO6" s="2888" t="s">
        <v>3241</v>
      </c>
      <c r="MAP6" s="2888" t="s">
        <v>3241</v>
      </c>
      <c r="MAQ6" s="2888" t="s">
        <v>3241</v>
      </c>
      <c r="MAR6" s="2888" t="s">
        <v>3241</v>
      </c>
      <c r="MAS6" s="2888" t="s">
        <v>3241</v>
      </c>
      <c r="MAT6" s="2888" t="s">
        <v>3241</v>
      </c>
      <c r="MAU6" s="2888" t="s">
        <v>3241</v>
      </c>
      <c r="MAV6" s="2888" t="s">
        <v>3241</v>
      </c>
      <c r="MAW6" s="2888" t="s">
        <v>3241</v>
      </c>
      <c r="MAX6" s="2888" t="s">
        <v>3241</v>
      </c>
      <c r="MAY6" s="2888" t="s">
        <v>3241</v>
      </c>
      <c r="MAZ6" s="2888" t="s">
        <v>3241</v>
      </c>
      <c r="MBA6" s="2888" t="s">
        <v>3241</v>
      </c>
      <c r="MBB6" s="2888" t="s">
        <v>3241</v>
      </c>
      <c r="MBC6" s="2888" t="s">
        <v>3241</v>
      </c>
      <c r="MBD6" s="2888" t="s">
        <v>3241</v>
      </c>
      <c r="MBE6" s="2888" t="s">
        <v>3241</v>
      </c>
      <c r="MBF6" s="2888" t="s">
        <v>3241</v>
      </c>
      <c r="MBG6" s="2888" t="s">
        <v>3241</v>
      </c>
      <c r="MBH6" s="2888" t="s">
        <v>3241</v>
      </c>
      <c r="MBI6" s="2888" t="s">
        <v>3241</v>
      </c>
      <c r="MBJ6" s="2888" t="s">
        <v>3241</v>
      </c>
      <c r="MBK6" s="2888" t="s">
        <v>3241</v>
      </c>
      <c r="MBL6" s="2888" t="s">
        <v>3241</v>
      </c>
      <c r="MBM6" s="2888" t="s">
        <v>3241</v>
      </c>
      <c r="MBN6" s="2888" t="s">
        <v>3241</v>
      </c>
      <c r="MBO6" s="2888" t="s">
        <v>3241</v>
      </c>
      <c r="MBP6" s="2888" t="s">
        <v>3241</v>
      </c>
      <c r="MBQ6" s="2888" t="s">
        <v>3241</v>
      </c>
      <c r="MBR6" s="2888" t="s">
        <v>3241</v>
      </c>
      <c r="MBS6" s="2888" t="s">
        <v>3241</v>
      </c>
      <c r="MBT6" s="2888" t="s">
        <v>3241</v>
      </c>
      <c r="MBU6" s="2888" t="s">
        <v>3241</v>
      </c>
      <c r="MBV6" s="2888" t="s">
        <v>3241</v>
      </c>
      <c r="MBW6" s="2888" t="s">
        <v>3241</v>
      </c>
      <c r="MBX6" s="2888" t="s">
        <v>3241</v>
      </c>
      <c r="MBY6" s="2888" t="s">
        <v>3241</v>
      </c>
      <c r="MBZ6" s="2888" t="s">
        <v>3241</v>
      </c>
      <c r="MCA6" s="2888" t="s">
        <v>3241</v>
      </c>
      <c r="MCB6" s="2888" t="s">
        <v>3241</v>
      </c>
      <c r="MCC6" s="2888" t="s">
        <v>3241</v>
      </c>
      <c r="MCD6" s="2888" t="s">
        <v>3241</v>
      </c>
      <c r="MCE6" s="2888" t="s">
        <v>3241</v>
      </c>
      <c r="MCF6" s="2888" t="s">
        <v>3241</v>
      </c>
      <c r="MCG6" s="2888" t="s">
        <v>3241</v>
      </c>
      <c r="MCH6" s="2888" t="s">
        <v>3241</v>
      </c>
      <c r="MCI6" s="2888" t="s">
        <v>3241</v>
      </c>
      <c r="MCJ6" s="2888" t="s">
        <v>3241</v>
      </c>
      <c r="MCK6" s="2888" t="s">
        <v>3241</v>
      </c>
      <c r="MCL6" s="2888" t="s">
        <v>3241</v>
      </c>
      <c r="MCM6" s="2888" t="s">
        <v>3241</v>
      </c>
      <c r="MCN6" s="2888" t="s">
        <v>3241</v>
      </c>
      <c r="MCO6" s="2888" t="s">
        <v>3241</v>
      </c>
      <c r="MCP6" s="2888" t="s">
        <v>3241</v>
      </c>
      <c r="MCQ6" s="2888" t="s">
        <v>3241</v>
      </c>
      <c r="MCR6" s="2888" t="s">
        <v>3241</v>
      </c>
      <c r="MCS6" s="2888" t="s">
        <v>3241</v>
      </c>
      <c r="MCT6" s="2888" t="s">
        <v>3241</v>
      </c>
      <c r="MCU6" s="2888" t="s">
        <v>3241</v>
      </c>
      <c r="MCV6" s="2888" t="s">
        <v>3241</v>
      </c>
      <c r="MCW6" s="2888" t="s">
        <v>3241</v>
      </c>
      <c r="MCX6" s="2888" t="s">
        <v>3241</v>
      </c>
      <c r="MCY6" s="2888" t="s">
        <v>3241</v>
      </c>
      <c r="MCZ6" s="2888" t="s">
        <v>3241</v>
      </c>
      <c r="MDA6" s="2888" t="s">
        <v>3241</v>
      </c>
      <c r="MDB6" s="2888" t="s">
        <v>3241</v>
      </c>
      <c r="MDC6" s="2888" t="s">
        <v>3241</v>
      </c>
      <c r="MDD6" s="2888" t="s">
        <v>3241</v>
      </c>
      <c r="MDE6" s="2888" t="s">
        <v>3241</v>
      </c>
      <c r="MDF6" s="2888" t="s">
        <v>3241</v>
      </c>
      <c r="MDG6" s="2888" t="s">
        <v>3241</v>
      </c>
      <c r="MDH6" s="2888" t="s">
        <v>3241</v>
      </c>
      <c r="MDI6" s="2888" t="s">
        <v>3241</v>
      </c>
      <c r="MDJ6" s="2888" t="s">
        <v>3241</v>
      </c>
      <c r="MDK6" s="2888" t="s">
        <v>3241</v>
      </c>
      <c r="MDL6" s="2888" t="s">
        <v>3241</v>
      </c>
      <c r="MDM6" s="2888" t="s">
        <v>3241</v>
      </c>
      <c r="MDN6" s="2888" t="s">
        <v>3241</v>
      </c>
      <c r="MDO6" s="2888" t="s">
        <v>3241</v>
      </c>
      <c r="MDP6" s="2888" t="s">
        <v>3241</v>
      </c>
      <c r="MDQ6" s="2888" t="s">
        <v>3241</v>
      </c>
      <c r="MDR6" s="2888" t="s">
        <v>3241</v>
      </c>
      <c r="MDS6" s="2888" t="s">
        <v>3241</v>
      </c>
      <c r="MDT6" s="2888" t="s">
        <v>3241</v>
      </c>
      <c r="MDU6" s="2888" t="s">
        <v>3241</v>
      </c>
      <c r="MDV6" s="2888" t="s">
        <v>3241</v>
      </c>
      <c r="MDW6" s="2888" t="s">
        <v>3241</v>
      </c>
      <c r="MDX6" s="2888" t="s">
        <v>3241</v>
      </c>
      <c r="MDY6" s="2888" t="s">
        <v>3241</v>
      </c>
      <c r="MDZ6" s="2888" t="s">
        <v>3241</v>
      </c>
      <c r="MEA6" s="2888" t="s">
        <v>3241</v>
      </c>
      <c r="MEB6" s="2888" t="s">
        <v>3241</v>
      </c>
      <c r="MEC6" s="2888" t="s">
        <v>3241</v>
      </c>
      <c r="MED6" s="2888" t="s">
        <v>3241</v>
      </c>
      <c r="MEE6" s="2888" t="s">
        <v>3241</v>
      </c>
      <c r="MEF6" s="2888" t="s">
        <v>3241</v>
      </c>
      <c r="MEG6" s="2888" t="s">
        <v>3241</v>
      </c>
      <c r="MEH6" s="2888" t="s">
        <v>3241</v>
      </c>
      <c r="MEI6" s="2888" t="s">
        <v>3241</v>
      </c>
      <c r="MEJ6" s="2888" t="s">
        <v>3241</v>
      </c>
      <c r="MEK6" s="2888" t="s">
        <v>3241</v>
      </c>
      <c r="MEL6" s="2888" t="s">
        <v>3241</v>
      </c>
      <c r="MEM6" s="2888" t="s">
        <v>3241</v>
      </c>
      <c r="MEN6" s="2888" t="s">
        <v>3241</v>
      </c>
      <c r="MEO6" s="2888" t="s">
        <v>3241</v>
      </c>
      <c r="MEP6" s="2888" t="s">
        <v>3241</v>
      </c>
      <c r="MEQ6" s="2888" t="s">
        <v>3241</v>
      </c>
      <c r="MER6" s="2888" t="s">
        <v>3241</v>
      </c>
      <c r="MES6" s="2888" t="s">
        <v>3241</v>
      </c>
      <c r="MET6" s="2888" t="s">
        <v>3241</v>
      </c>
      <c r="MEU6" s="2888" t="s">
        <v>3241</v>
      </c>
      <c r="MEV6" s="2888" t="s">
        <v>3241</v>
      </c>
      <c r="MEW6" s="2888" t="s">
        <v>3241</v>
      </c>
      <c r="MEX6" s="2888" t="s">
        <v>3241</v>
      </c>
      <c r="MEY6" s="2888" t="s">
        <v>3241</v>
      </c>
      <c r="MEZ6" s="2888" t="s">
        <v>3241</v>
      </c>
      <c r="MFA6" s="2888" t="s">
        <v>3241</v>
      </c>
      <c r="MFB6" s="2888" t="s">
        <v>3241</v>
      </c>
      <c r="MFC6" s="2888" t="s">
        <v>3241</v>
      </c>
      <c r="MFD6" s="2888" t="s">
        <v>3241</v>
      </c>
      <c r="MFE6" s="2888" t="s">
        <v>3241</v>
      </c>
      <c r="MFF6" s="2888" t="s">
        <v>3241</v>
      </c>
      <c r="MFG6" s="2888" t="s">
        <v>3241</v>
      </c>
      <c r="MFH6" s="2888" t="s">
        <v>3241</v>
      </c>
      <c r="MFI6" s="2888" t="s">
        <v>3241</v>
      </c>
      <c r="MFJ6" s="2888" t="s">
        <v>3241</v>
      </c>
      <c r="MFK6" s="2888" t="s">
        <v>3241</v>
      </c>
      <c r="MFL6" s="2888" t="s">
        <v>3241</v>
      </c>
      <c r="MFM6" s="2888" t="s">
        <v>3241</v>
      </c>
      <c r="MFN6" s="2888" t="s">
        <v>3241</v>
      </c>
      <c r="MFO6" s="2888" t="s">
        <v>3241</v>
      </c>
      <c r="MFP6" s="2888" t="s">
        <v>3241</v>
      </c>
      <c r="MFQ6" s="2888" t="s">
        <v>3241</v>
      </c>
      <c r="MFR6" s="2888" t="s">
        <v>3241</v>
      </c>
      <c r="MFS6" s="2888" t="s">
        <v>3241</v>
      </c>
      <c r="MFT6" s="2888" t="s">
        <v>3241</v>
      </c>
      <c r="MFU6" s="2888" t="s">
        <v>3241</v>
      </c>
      <c r="MFV6" s="2888" t="s">
        <v>3241</v>
      </c>
      <c r="MFW6" s="2888" t="s">
        <v>3241</v>
      </c>
      <c r="MFX6" s="2888" t="s">
        <v>3241</v>
      </c>
      <c r="MFY6" s="2888" t="s">
        <v>3241</v>
      </c>
      <c r="MFZ6" s="2888" t="s">
        <v>3241</v>
      </c>
      <c r="MGA6" s="2888" t="s">
        <v>3241</v>
      </c>
      <c r="MGB6" s="2888" t="s">
        <v>3241</v>
      </c>
      <c r="MGC6" s="2888" t="s">
        <v>3241</v>
      </c>
      <c r="MGD6" s="2888" t="s">
        <v>3241</v>
      </c>
      <c r="MGE6" s="2888" t="s">
        <v>3241</v>
      </c>
      <c r="MGF6" s="2888" t="s">
        <v>3241</v>
      </c>
      <c r="MGG6" s="2888" t="s">
        <v>3241</v>
      </c>
      <c r="MGH6" s="2888" t="s">
        <v>3241</v>
      </c>
      <c r="MGI6" s="2888" t="s">
        <v>3241</v>
      </c>
      <c r="MGJ6" s="2888" t="s">
        <v>3241</v>
      </c>
      <c r="MGK6" s="2888" t="s">
        <v>3241</v>
      </c>
      <c r="MGL6" s="2888" t="s">
        <v>3241</v>
      </c>
      <c r="MGM6" s="2888" t="s">
        <v>3241</v>
      </c>
      <c r="MGN6" s="2888" t="s">
        <v>3241</v>
      </c>
      <c r="MGO6" s="2888" t="s">
        <v>3241</v>
      </c>
      <c r="MGP6" s="2888" t="s">
        <v>3241</v>
      </c>
      <c r="MGQ6" s="2888" t="s">
        <v>3241</v>
      </c>
      <c r="MGR6" s="2888" t="s">
        <v>3241</v>
      </c>
      <c r="MGS6" s="2888" t="s">
        <v>3241</v>
      </c>
      <c r="MGT6" s="2888" t="s">
        <v>3241</v>
      </c>
      <c r="MGU6" s="2888" t="s">
        <v>3241</v>
      </c>
      <c r="MGV6" s="2888" t="s">
        <v>3241</v>
      </c>
      <c r="MGW6" s="2888" t="s">
        <v>3241</v>
      </c>
      <c r="MGX6" s="2888" t="s">
        <v>3241</v>
      </c>
      <c r="MGY6" s="2888" t="s">
        <v>3241</v>
      </c>
      <c r="MGZ6" s="2888" t="s">
        <v>3241</v>
      </c>
      <c r="MHA6" s="2888" t="s">
        <v>3241</v>
      </c>
      <c r="MHB6" s="2888" t="s">
        <v>3241</v>
      </c>
      <c r="MHC6" s="2888" t="s">
        <v>3241</v>
      </c>
      <c r="MHD6" s="2888" t="s">
        <v>3241</v>
      </c>
      <c r="MHE6" s="2888" t="s">
        <v>3241</v>
      </c>
      <c r="MHF6" s="2888" t="s">
        <v>3241</v>
      </c>
      <c r="MHG6" s="2888" t="s">
        <v>3241</v>
      </c>
      <c r="MHH6" s="2888" t="s">
        <v>3241</v>
      </c>
      <c r="MHI6" s="2888" t="s">
        <v>3241</v>
      </c>
      <c r="MHJ6" s="2888" t="s">
        <v>3241</v>
      </c>
      <c r="MHK6" s="2888" t="s">
        <v>3241</v>
      </c>
      <c r="MHL6" s="2888" t="s">
        <v>3241</v>
      </c>
      <c r="MHM6" s="2888" t="s">
        <v>3241</v>
      </c>
      <c r="MHN6" s="2888" t="s">
        <v>3241</v>
      </c>
      <c r="MHO6" s="2888" t="s">
        <v>3241</v>
      </c>
      <c r="MHP6" s="2888" t="s">
        <v>3241</v>
      </c>
      <c r="MHQ6" s="2888" t="s">
        <v>3241</v>
      </c>
      <c r="MHR6" s="2888" t="s">
        <v>3241</v>
      </c>
      <c r="MHS6" s="2888" t="s">
        <v>3241</v>
      </c>
      <c r="MHT6" s="2888" t="s">
        <v>3241</v>
      </c>
      <c r="MHU6" s="2888" t="s">
        <v>3241</v>
      </c>
      <c r="MHV6" s="2888" t="s">
        <v>3241</v>
      </c>
      <c r="MHW6" s="2888" t="s">
        <v>3241</v>
      </c>
      <c r="MHX6" s="2888" t="s">
        <v>3241</v>
      </c>
      <c r="MHY6" s="2888" t="s">
        <v>3241</v>
      </c>
      <c r="MHZ6" s="2888" t="s">
        <v>3241</v>
      </c>
      <c r="MIA6" s="2888" t="s">
        <v>3241</v>
      </c>
      <c r="MIB6" s="2888" t="s">
        <v>3241</v>
      </c>
      <c r="MIC6" s="2888" t="s">
        <v>3241</v>
      </c>
      <c r="MID6" s="2888" t="s">
        <v>3241</v>
      </c>
      <c r="MIE6" s="2888" t="s">
        <v>3241</v>
      </c>
      <c r="MIF6" s="2888" t="s">
        <v>3241</v>
      </c>
      <c r="MIG6" s="2888" t="s">
        <v>3241</v>
      </c>
      <c r="MIH6" s="2888" t="s">
        <v>3241</v>
      </c>
      <c r="MII6" s="2888" t="s">
        <v>3241</v>
      </c>
      <c r="MIJ6" s="2888" t="s">
        <v>3241</v>
      </c>
      <c r="MIK6" s="2888" t="s">
        <v>3241</v>
      </c>
      <c r="MIL6" s="2888" t="s">
        <v>3241</v>
      </c>
      <c r="MIM6" s="2888" t="s">
        <v>3241</v>
      </c>
      <c r="MIN6" s="2888" t="s">
        <v>3241</v>
      </c>
      <c r="MIO6" s="2888" t="s">
        <v>3241</v>
      </c>
      <c r="MIP6" s="2888" t="s">
        <v>3241</v>
      </c>
      <c r="MIQ6" s="2888" t="s">
        <v>3241</v>
      </c>
      <c r="MIR6" s="2888" t="s">
        <v>3241</v>
      </c>
      <c r="MIS6" s="2888" t="s">
        <v>3241</v>
      </c>
      <c r="MIT6" s="2888" t="s">
        <v>3241</v>
      </c>
      <c r="MIU6" s="2888" t="s">
        <v>3241</v>
      </c>
      <c r="MIV6" s="2888" t="s">
        <v>3241</v>
      </c>
      <c r="MIW6" s="2888" t="s">
        <v>3241</v>
      </c>
      <c r="MIX6" s="2888" t="s">
        <v>3241</v>
      </c>
      <c r="MIY6" s="2888" t="s">
        <v>3241</v>
      </c>
      <c r="MIZ6" s="2888" t="s">
        <v>3241</v>
      </c>
      <c r="MJA6" s="2888" t="s">
        <v>3241</v>
      </c>
      <c r="MJB6" s="2888" t="s">
        <v>3241</v>
      </c>
      <c r="MJC6" s="2888" t="s">
        <v>3241</v>
      </c>
      <c r="MJD6" s="2888" t="s">
        <v>3241</v>
      </c>
      <c r="MJE6" s="2888" t="s">
        <v>3241</v>
      </c>
      <c r="MJF6" s="2888" t="s">
        <v>3241</v>
      </c>
      <c r="MJG6" s="2888" t="s">
        <v>3241</v>
      </c>
      <c r="MJH6" s="2888" t="s">
        <v>3241</v>
      </c>
      <c r="MJI6" s="2888" t="s">
        <v>3241</v>
      </c>
      <c r="MJJ6" s="2888" t="s">
        <v>3241</v>
      </c>
      <c r="MJK6" s="2888" t="s">
        <v>3241</v>
      </c>
      <c r="MJL6" s="2888" t="s">
        <v>3241</v>
      </c>
      <c r="MJM6" s="2888" t="s">
        <v>3241</v>
      </c>
      <c r="MJN6" s="2888" t="s">
        <v>3241</v>
      </c>
      <c r="MJO6" s="2888" t="s">
        <v>3241</v>
      </c>
      <c r="MJP6" s="2888" t="s">
        <v>3241</v>
      </c>
      <c r="MJQ6" s="2888" t="s">
        <v>3241</v>
      </c>
      <c r="MJR6" s="2888" t="s">
        <v>3241</v>
      </c>
      <c r="MJS6" s="2888" t="s">
        <v>3241</v>
      </c>
      <c r="MJT6" s="2888" t="s">
        <v>3241</v>
      </c>
      <c r="MJU6" s="2888" t="s">
        <v>3241</v>
      </c>
      <c r="MJV6" s="2888" t="s">
        <v>3241</v>
      </c>
      <c r="MJW6" s="2888" t="s">
        <v>3241</v>
      </c>
      <c r="MJX6" s="2888" t="s">
        <v>3241</v>
      </c>
      <c r="MJY6" s="2888" t="s">
        <v>3241</v>
      </c>
      <c r="MJZ6" s="2888" t="s">
        <v>3241</v>
      </c>
      <c r="MKA6" s="2888" t="s">
        <v>3241</v>
      </c>
      <c r="MKB6" s="2888" t="s">
        <v>3241</v>
      </c>
      <c r="MKC6" s="2888" t="s">
        <v>3241</v>
      </c>
      <c r="MKD6" s="2888" t="s">
        <v>3241</v>
      </c>
      <c r="MKE6" s="2888" t="s">
        <v>3241</v>
      </c>
      <c r="MKF6" s="2888" t="s">
        <v>3241</v>
      </c>
      <c r="MKG6" s="2888" t="s">
        <v>3241</v>
      </c>
      <c r="MKH6" s="2888" t="s">
        <v>3241</v>
      </c>
      <c r="MKI6" s="2888" t="s">
        <v>3241</v>
      </c>
      <c r="MKJ6" s="2888" t="s">
        <v>3241</v>
      </c>
      <c r="MKK6" s="2888" t="s">
        <v>3241</v>
      </c>
      <c r="MKL6" s="2888" t="s">
        <v>3241</v>
      </c>
      <c r="MKM6" s="2888" t="s">
        <v>3241</v>
      </c>
      <c r="MKN6" s="2888" t="s">
        <v>3241</v>
      </c>
      <c r="MKO6" s="2888" t="s">
        <v>3241</v>
      </c>
      <c r="MKP6" s="2888" t="s">
        <v>3241</v>
      </c>
      <c r="MKQ6" s="2888" t="s">
        <v>3241</v>
      </c>
      <c r="MKR6" s="2888" t="s">
        <v>3241</v>
      </c>
      <c r="MKS6" s="2888" t="s">
        <v>3241</v>
      </c>
      <c r="MKT6" s="2888" t="s">
        <v>3241</v>
      </c>
      <c r="MKU6" s="2888" t="s">
        <v>3241</v>
      </c>
      <c r="MKV6" s="2888" t="s">
        <v>3241</v>
      </c>
      <c r="MKW6" s="2888" t="s">
        <v>3241</v>
      </c>
      <c r="MKX6" s="2888" t="s">
        <v>3241</v>
      </c>
      <c r="MKY6" s="2888" t="s">
        <v>3241</v>
      </c>
      <c r="MKZ6" s="2888" t="s">
        <v>3241</v>
      </c>
      <c r="MLA6" s="2888" t="s">
        <v>3241</v>
      </c>
      <c r="MLB6" s="2888" t="s">
        <v>3241</v>
      </c>
      <c r="MLC6" s="2888" t="s">
        <v>3241</v>
      </c>
      <c r="MLD6" s="2888" t="s">
        <v>3241</v>
      </c>
      <c r="MLE6" s="2888" t="s">
        <v>3241</v>
      </c>
      <c r="MLF6" s="2888" t="s">
        <v>3241</v>
      </c>
      <c r="MLG6" s="2888" t="s">
        <v>3241</v>
      </c>
      <c r="MLH6" s="2888" t="s">
        <v>3241</v>
      </c>
      <c r="MLI6" s="2888" t="s">
        <v>3241</v>
      </c>
      <c r="MLJ6" s="2888" t="s">
        <v>3241</v>
      </c>
      <c r="MLK6" s="2888" t="s">
        <v>3241</v>
      </c>
      <c r="MLL6" s="2888" t="s">
        <v>3241</v>
      </c>
      <c r="MLM6" s="2888" t="s">
        <v>3241</v>
      </c>
      <c r="MLN6" s="2888" t="s">
        <v>3241</v>
      </c>
      <c r="MLO6" s="2888" t="s">
        <v>3241</v>
      </c>
      <c r="MLP6" s="2888" t="s">
        <v>3241</v>
      </c>
      <c r="MLQ6" s="2888" t="s">
        <v>3241</v>
      </c>
      <c r="MLR6" s="2888" t="s">
        <v>3241</v>
      </c>
      <c r="MLS6" s="2888" t="s">
        <v>3241</v>
      </c>
      <c r="MLT6" s="2888" t="s">
        <v>3241</v>
      </c>
      <c r="MLU6" s="2888" t="s">
        <v>3241</v>
      </c>
      <c r="MLV6" s="2888" t="s">
        <v>3241</v>
      </c>
      <c r="MLW6" s="2888" t="s">
        <v>3241</v>
      </c>
      <c r="MLX6" s="2888" t="s">
        <v>3241</v>
      </c>
      <c r="MLY6" s="2888" t="s">
        <v>3241</v>
      </c>
      <c r="MLZ6" s="2888" t="s">
        <v>3241</v>
      </c>
      <c r="MMA6" s="2888" t="s">
        <v>3241</v>
      </c>
      <c r="MMB6" s="2888" t="s">
        <v>3241</v>
      </c>
      <c r="MMC6" s="2888" t="s">
        <v>3241</v>
      </c>
      <c r="MMD6" s="2888" t="s">
        <v>3241</v>
      </c>
      <c r="MME6" s="2888" t="s">
        <v>3241</v>
      </c>
      <c r="MMF6" s="2888" t="s">
        <v>3241</v>
      </c>
      <c r="MMG6" s="2888" t="s">
        <v>3241</v>
      </c>
      <c r="MMH6" s="2888" t="s">
        <v>3241</v>
      </c>
      <c r="MMI6" s="2888" t="s">
        <v>3241</v>
      </c>
      <c r="MMJ6" s="2888" t="s">
        <v>3241</v>
      </c>
      <c r="MMK6" s="2888" t="s">
        <v>3241</v>
      </c>
      <c r="MML6" s="2888" t="s">
        <v>3241</v>
      </c>
      <c r="MMM6" s="2888" t="s">
        <v>3241</v>
      </c>
      <c r="MMN6" s="2888" t="s">
        <v>3241</v>
      </c>
      <c r="MMO6" s="2888" t="s">
        <v>3241</v>
      </c>
      <c r="MMP6" s="2888" t="s">
        <v>3241</v>
      </c>
      <c r="MMQ6" s="2888" t="s">
        <v>3241</v>
      </c>
      <c r="MMR6" s="2888" t="s">
        <v>3241</v>
      </c>
      <c r="MMS6" s="2888" t="s">
        <v>3241</v>
      </c>
      <c r="MMT6" s="2888" t="s">
        <v>3241</v>
      </c>
      <c r="MMU6" s="2888" t="s">
        <v>3241</v>
      </c>
      <c r="MMV6" s="2888" t="s">
        <v>3241</v>
      </c>
      <c r="MMW6" s="2888" t="s">
        <v>3241</v>
      </c>
      <c r="MMX6" s="2888" t="s">
        <v>3241</v>
      </c>
      <c r="MMY6" s="2888" t="s">
        <v>3241</v>
      </c>
      <c r="MMZ6" s="2888" t="s">
        <v>3241</v>
      </c>
      <c r="MNA6" s="2888" t="s">
        <v>3241</v>
      </c>
      <c r="MNB6" s="2888" t="s">
        <v>3241</v>
      </c>
      <c r="MNC6" s="2888" t="s">
        <v>3241</v>
      </c>
      <c r="MND6" s="2888" t="s">
        <v>3241</v>
      </c>
      <c r="MNE6" s="2888" t="s">
        <v>3241</v>
      </c>
      <c r="MNF6" s="2888" t="s">
        <v>3241</v>
      </c>
      <c r="MNG6" s="2888" t="s">
        <v>3241</v>
      </c>
      <c r="MNH6" s="2888" t="s">
        <v>3241</v>
      </c>
      <c r="MNI6" s="2888" t="s">
        <v>3241</v>
      </c>
      <c r="MNJ6" s="2888" t="s">
        <v>3241</v>
      </c>
      <c r="MNK6" s="2888" t="s">
        <v>3241</v>
      </c>
      <c r="MNL6" s="2888" t="s">
        <v>3241</v>
      </c>
      <c r="MNM6" s="2888" t="s">
        <v>3241</v>
      </c>
      <c r="MNN6" s="2888" t="s">
        <v>3241</v>
      </c>
      <c r="MNO6" s="2888" t="s">
        <v>3241</v>
      </c>
      <c r="MNP6" s="2888" t="s">
        <v>3241</v>
      </c>
      <c r="MNQ6" s="2888" t="s">
        <v>3241</v>
      </c>
      <c r="MNR6" s="2888" t="s">
        <v>3241</v>
      </c>
      <c r="MNS6" s="2888" t="s">
        <v>3241</v>
      </c>
      <c r="MNT6" s="2888" t="s">
        <v>3241</v>
      </c>
      <c r="MNU6" s="2888" t="s">
        <v>3241</v>
      </c>
      <c r="MNV6" s="2888" t="s">
        <v>3241</v>
      </c>
      <c r="MNW6" s="2888" t="s">
        <v>3241</v>
      </c>
      <c r="MNX6" s="2888" t="s">
        <v>3241</v>
      </c>
      <c r="MNY6" s="2888" t="s">
        <v>3241</v>
      </c>
      <c r="MNZ6" s="2888" t="s">
        <v>3241</v>
      </c>
      <c r="MOA6" s="2888" t="s">
        <v>3241</v>
      </c>
      <c r="MOB6" s="2888" t="s">
        <v>3241</v>
      </c>
      <c r="MOC6" s="2888" t="s">
        <v>3241</v>
      </c>
      <c r="MOD6" s="2888" t="s">
        <v>3241</v>
      </c>
      <c r="MOE6" s="2888" t="s">
        <v>3241</v>
      </c>
      <c r="MOF6" s="2888" t="s">
        <v>3241</v>
      </c>
      <c r="MOG6" s="2888" t="s">
        <v>3241</v>
      </c>
      <c r="MOH6" s="2888" t="s">
        <v>3241</v>
      </c>
      <c r="MOI6" s="2888" t="s">
        <v>3241</v>
      </c>
      <c r="MOJ6" s="2888" t="s">
        <v>3241</v>
      </c>
      <c r="MOK6" s="2888" t="s">
        <v>3241</v>
      </c>
      <c r="MOL6" s="2888" t="s">
        <v>3241</v>
      </c>
      <c r="MOM6" s="2888" t="s">
        <v>3241</v>
      </c>
      <c r="MON6" s="2888" t="s">
        <v>3241</v>
      </c>
      <c r="MOO6" s="2888" t="s">
        <v>3241</v>
      </c>
      <c r="MOP6" s="2888" t="s">
        <v>3241</v>
      </c>
      <c r="MOQ6" s="2888" t="s">
        <v>3241</v>
      </c>
      <c r="MOR6" s="2888" t="s">
        <v>3241</v>
      </c>
      <c r="MOS6" s="2888" t="s">
        <v>3241</v>
      </c>
      <c r="MOT6" s="2888" t="s">
        <v>3241</v>
      </c>
      <c r="MOU6" s="2888" t="s">
        <v>3241</v>
      </c>
      <c r="MOV6" s="2888" t="s">
        <v>3241</v>
      </c>
      <c r="MOW6" s="2888" t="s">
        <v>3241</v>
      </c>
      <c r="MOX6" s="2888" t="s">
        <v>3241</v>
      </c>
      <c r="MOY6" s="2888" t="s">
        <v>3241</v>
      </c>
      <c r="MOZ6" s="2888" t="s">
        <v>3241</v>
      </c>
      <c r="MPA6" s="2888" t="s">
        <v>3241</v>
      </c>
      <c r="MPB6" s="2888" t="s">
        <v>3241</v>
      </c>
      <c r="MPC6" s="2888" t="s">
        <v>3241</v>
      </c>
      <c r="MPD6" s="2888" t="s">
        <v>3241</v>
      </c>
      <c r="MPE6" s="2888" t="s">
        <v>3241</v>
      </c>
      <c r="MPF6" s="2888" t="s">
        <v>3241</v>
      </c>
      <c r="MPG6" s="2888" t="s">
        <v>3241</v>
      </c>
      <c r="MPH6" s="2888" t="s">
        <v>3241</v>
      </c>
      <c r="MPI6" s="2888" t="s">
        <v>3241</v>
      </c>
      <c r="MPJ6" s="2888" t="s">
        <v>3241</v>
      </c>
      <c r="MPK6" s="2888" t="s">
        <v>3241</v>
      </c>
      <c r="MPL6" s="2888" t="s">
        <v>3241</v>
      </c>
      <c r="MPM6" s="2888" t="s">
        <v>3241</v>
      </c>
      <c r="MPN6" s="2888" t="s">
        <v>3241</v>
      </c>
      <c r="MPO6" s="2888" t="s">
        <v>3241</v>
      </c>
      <c r="MPP6" s="2888" t="s">
        <v>3241</v>
      </c>
      <c r="MPQ6" s="2888" t="s">
        <v>3241</v>
      </c>
      <c r="MPR6" s="2888" t="s">
        <v>3241</v>
      </c>
      <c r="MPS6" s="2888" t="s">
        <v>3241</v>
      </c>
      <c r="MPT6" s="2888" t="s">
        <v>3241</v>
      </c>
      <c r="MPU6" s="2888" t="s">
        <v>3241</v>
      </c>
      <c r="MPV6" s="2888" t="s">
        <v>3241</v>
      </c>
      <c r="MPW6" s="2888" t="s">
        <v>3241</v>
      </c>
      <c r="MPX6" s="2888" t="s">
        <v>3241</v>
      </c>
      <c r="MPY6" s="2888" t="s">
        <v>3241</v>
      </c>
      <c r="MPZ6" s="2888" t="s">
        <v>3241</v>
      </c>
      <c r="MQA6" s="2888" t="s">
        <v>3241</v>
      </c>
      <c r="MQB6" s="2888" t="s">
        <v>3241</v>
      </c>
      <c r="MQC6" s="2888" t="s">
        <v>3241</v>
      </c>
      <c r="MQD6" s="2888" t="s">
        <v>3241</v>
      </c>
      <c r="MQE6" s="2888" t="s">
        <v>3241</v>
      </c>
      <c r="MQF6" s="2888" t="s">
        <v>3241</v>
      </c>
      <c r="MQG6" s="2888" t="s">
        <v>3241</v>
      </c>
      <c r="MQH6" s="2888" t="s">
        <v>3241</v>
      </c>
      <c r="MQI6" s="2888" t="s">
        <v>3241</v>
      </c>
      <c r="MQJ6" s="2888" t="s">
        <v>3241</v>
      </c>
      <c r="MQK6" s="2888" t="s">
        <v>3241</v>
      </c>
      <c r="MQL6" s="2888" t="s">
        <v>3241</v>
      </c>
      <c r="MQM6" s="2888" t="s">
        <v>3241</v>
      </c>
      <c r="MQN6" s="2888" t="s">
        <v>3241</v>
      </c>
      <c r="MQO6" s="2888" t="s">
        <v>3241</v>
      </c>
      <c r="MQP6" s="2888" t="s">
        <v>3241</v>
      </c>
      <c r="MQQ6" s="2888" t="s">
        <v>3241</v>
      </c>
      <c r="MQR6" s="2888" t="s">
        <v>3241</v>
      </c>
      <c r="MQS6" s="2888" t="s">
        <v>3241</v>
      </c>
      <c r="MQT6" s="2888" t="s">
        <v>3241</v>
      </c>
      <c r="MQU6" s="2888" t="s">
        <v>3241</v>
      </c>
      <c r="MQV6" s="2888" t="s">
        <v>3241</v>
      </c>
      <c r="MQW6" s="2888" t="s">
        <v>3241</v>
      </c>
      <c r="MQX6" s="2888" t="s">
        <v>3241</v>
      </c>
      <c r="MQY6" s="2888" t="s">
        <v>3241</v>
      </c>
      <c r="MQZ6" s="2888" t="s">
        <v>3241</v>
      </c>
      <c r="MRA6" s="2888" t="s">
        <v>3241</v>
      </c>
      <c r="MRB6" s="2888" t="s">
        <v>3241</v>
      </c>
      <c r="MRC6" s="2888" t="s">
        <v>3241</v>
      </c>
      <c r="MRD6" s="2888" t="s">
        <v>3241</v>
      </c>
      <c r="MRE6" s="2888" t="s">
        <v>3241</v>
      </c>
      <c r="MRF6" s="2888" t="s">
        <v>3241</v>
      </c>
      <c r="MRG6" s="2888" t="s">
        <v>3241</v>
      </c>
      <c r="MRH6" s="2888" t="s">
        <v>3241</v>
      </c>
      <c r="MRI6" s="2888" t="s">
        <v>3241</v>
      </c>
      <c r="MRJ6" s="2888" t="s">
        <v>3241</v>
      </c>
      <c r="MRK6" s="2888" t="s">
        <v>3241</v>
      </c>
      <c r="MRL6" s="2888" t="s">
        <v>3241</v>
      </c>
      <c r="MRM6" s="2888" t="s">
        <v>3241</v>
      </c>
      <c r="MRN6" s="2888" t="s">
        <v>3241</v>
      </c>
      <c r="MRO6" s="2888" t="s">
        <v>3241</v>
      </c>
      <c r="MRP6" s="2888" t="s">
        <v>3241</v>
      </c>
      <c r="MRQ6" s="2888" t="s">
        <v>3241</v>
      </c>
      <c r="MRR6" s="2888" t="s">
        <v>3241</v>
      </c>
      <c r="MRS6" s="2888" t="s">
        <v>3241</v>
      </c>
      <c r="MRT6" s="2888" t="s">
        <v>3241</v>
      </c>
      <c r="MRU6" s="2888" t="s">
        <v>3241</v>
      </c>
      <c r="MRV6" s="2888" t="s">
        <v>3241</v>
      </c>
      <c r="MRW6" s="2888" t="s">
        <v>3241</v>
      </c>
      <c r="MRX6" s="2888" t="s">
        <v>3241</v>
      </c>
      <c r="MRY6" s="2888" t="s">
        <v>3241</v>
      </c>
      <c r="MRZ6" s="2888" t="s">
        <v>3241</v>
      </c>
      <c r="MSA6" s="2888" t="s">
        <v>3241</v>
      </c>
      <c r="MSB6" s="2888" t="s">
        <v>3241</v>
      </c>
      <c r="MSC6" s="2888" t="s">
        <v>3241</v>
      </c>
      <c r="MSD6" s="2888" t="s">
        <v>3241</v>
      </c>
      <c r="MSE6" s="2888" t="s">
        <v>3241</v>
      </c>
      <c r="MSF6" s="2888" t="s">
        <v>3241</v>
      </c>
      <c r="MSG6" s="2888" t="s">
        <v>3241</v>
      </c>
      <c r="MSH6" s="2888" t="s">
        <v>3241</v>
      </c>
      <c r="MSI6" s="2888" t="s">
        <v>3241</v>
      </c>
      <c r="MSJ6" s="2888" t="s">
        <v>3241</v>
      </c>
      <c r="MSK6" s="2888" t="s">
        <v>3241</v>
      </c>
      <c r="MSL6" s="2888" t="s">
        <v>3241</v>
      </c>
      <c r="MSM6" s="2888" t="s">
        <v>3241</v>
      </c>
      <c r="MSN6" s="2888" t="s">
        <v>3241</v>
      </c>
      <c r="MSO6" s="2888" t="s">
        <v>3241</v>
      </c>
      <c r="MSP6" s="2888" t="s">
        <v>3241</v>
      </c>
      <c r="MSQ6" s="2888" t="s">
        <v>3241</v>
      </c>
      <c r="MSR6" s="2888" t="s">
        <v>3241</v>
      </c>
      <c r="MSS6" s="2888" t="s">
        <v>3241</v>
      </c>
      <c r="MST6" s="2888" t="s">
        <v>3241</v>
      </c>
      <c r="MSU6" s="2888" t="s">
        <v>3241</v>
      </c>
      <c r="MSV6" s="2888" t="s">
        <v>3241</v>
      </c>
      <c r="MSW6" s="2888" t="s">
        <v>3241</v>
      </c>
      <c r="MSX6" s="2888" t="s">
        <v>3241</v>
      </c>
      <c r="MSY6" s="2888" t="s">
        <v>3241</v>
      </c>
      <c r="MSZ6" s="2888" t="s">
        <v>3241</v>
      </c>
      <c r="MTA6" s="2888" t="s">
        <v>3241</v>
      </c>
      <c r="MTB6" s="2888" t="s">
        <v>3241</v>
      </c>
      <c r="MTC6" s="2888" t="s">
        <v>3241</v>
      </c>
      <c r="MTD6" s="2888" t="s">
        <v>3241</v>
      </c>
      <c r="MTE6" s="2888" t="s">
        <v>3241</v>
      </c>
      <c r="MTF6" s="2888" t="s">
        <v>3241</v>
      </c>
      <c r="MTG6" s="2888" t="s">
        <v>3241</v>
      </c>
      <c r="MTH6" s="2888" t="s">
        <v>3241</v>
      </c>
      <c r="MTI6" s="2888" t="s">
        <v>3241</v>
      </c>
      <c r="MTJ6" s="2888" t="s">
        <v>3241</v>
      </c>
      <c r="MTK6" s="2888" t="s">
        <v>3241</v>
      </c>
      <c r="MTL6" s="2888" t="s">
        <v>3241</v>
      </c>
      <c r="MTM6" s="2888" t="s">
        <v>3241</v>
      </c>
      <c r="MTN6" s="2888" t="s">
        <v>3241</v>
      </c>
      <c r="MTO6" s="2888" t="s">
        <v>3241</v>
      </c>
      <c r="MTP6" s="2888" t="s">
        <v>3241</v>
      </c>
      <c r="MTQ6" s="2888" t="s">
        <v>3241</v>
      </c>
      <c r="MTR6" s="2888" t="s">
        <v>3241</v>
      </c>
      <c r="MTS6" s="2888" t="s">
        <v>3241</v>
      </c>
      <c r="MTT6" s="2888" t="s">
        <v>3241</v>
      </c>
      <c r="MTU6" s="2888" t="s">
        <v>3241</v>
      </c>
      <c r="MTV6" s="2888" t="s">
        <v>3241</v>
      </c>
      <c r="MTW6" s="2888" t="s">
        <v>3241</v>
      </c>
      <c r="MTX6" s="2888" t="s">
        <v>3241</v>
      </c>
      <c r="MTY6" s="2888" t="s">
        <v>3241</v>
      </c>
      <c r="MTZ6" s="2888" t="s">
        <v>3241</v>
      </c>
      <c r="MUA6" s="2888" t="s">
        <v>3241</v>
      </c>
      <c r="MUB6" s="2888" t="s">
        <v>3241</v>
      </c>
      <c r="MUC6" s="2888" t="s">
        <v>3241</v>
      </c>
      <c r="MUD6" s="2888" t="s">
        <v>3241</v>
      </c>
      <c r="MUE6" s="2888" t="s">
        <v>3241</v>
      </c>
      <c r="MUF6" s="2888" t="s">
        <v>3241</v>
      </c>
      <c r="MUG6" s="2888" t="s">
        <v>3241</v>
      </c>
      <c r="MUH6" s="2888" t="s">
        <v>3241</v>
      </c>
      <c r="MUI6" s="2888" t="s">
        <v>3241</v>
      </c>
      <c r="MUJ6" s="2888" t="s">
        <v>3241</v>
      </c>
      <c r="MUK6" s="2888" t="s">
        <v>3241</v>
      </c>
      <c r="MUL6" s="2888" t="s">
        <v>3241</v>
      </c>
      <c r="MUM6" s="2888" t="s">
        <v>3241</v>
      </c>
      <c r="MUN6" s="2888" t="s">
        <v>3241</v>
      </c>
      <c r="MUO6" s="2888" t="s">
        <v>3241</v>
      </c>
      <c r="MUP6" s="2888" t="s">
        <v>3241</v>
      </c>
      <c r="MUQ6" s="2888" t="s">
        <v>3241</v>
      </c>
      <c r="MUR6" s="2888" t="s">
        <v>3241</v>
      </c>
      <c r="MUS6" s="2888" t="s">
        <v>3241</v>
      </c>
      <c r="MUT6" s="2888" t="s">
        <v>3241</v>
      </c>
      <c r="MUU6" s="2888" t="s">
        <v>3241</v>
      </c>
      <c r="MUV6" s="2888" t="s">
        <v>3241</v>
      </c>
      <c r="MUW6" s="2888" t="s">
        <v>3241</v>
      </c>
      <c r="MUX6" s="2888" t="s">
        <v>3241</v>
      </c>
      <c r="MUY6" s="2888" t="s">
        <v>3241</v>
      </c>
      <c r="MUZ6" s="2888" t="s">
        <v>3241</v>
      </c>
      <c r="MVA6" s="2888" t="s">
        <v>3241</v>
      </c>
      <c r="MVB6" s="2888" t="s">
        <v>3241</v>
      </c>
      <c r="MVC6" s="2888" t="s">
        <v>3241</v>
      </c>
      <c r="MVD6" s="2888" t="s">
        <v>3241</v>
      </c>
      <c r="MVE6" s="2888" t="s">
        <v>3241</v>
      </c>
      <c r="MVF6" s="2888" t="s">
        <v>3241</v>
      </c>
      <c r="MVG6" s="2888" t="s">
        <v>3241</v>
      </c>
      <c r="MVH6" s="2888" t="s">
        <v>3241</v>
      </c>
      <c r="MVI6" s="2888" t="s">
        <v>3241</v>
      </c>
      <c r="MVJ6" s="2888" t="s">
        <v>3241</v>
      </c>
      <c r="MVK6" s="2888" t="s">
        <v>3241</v>
      </c>
      <c r="MVL6" s="2888" t="s">
        <v>3241</v>
      </c>
      <c r="MVM6" s="2888" t="s">
        <v>3241</v>
      </c>
      <c r="MVN6" s="2888" t="s">
        <v>3241</v>
      </c>
      <c r="MVO6" s="2888" t="s">
        <v>3241</v>
      </c>
      <c r="MVP6" s="2888" t="s">
        <v>3241</v>
      </c>
      <c r="MVQ6" s="2888" t="s">
        <v>3241</v>
      </c>
      <c r="MVR6" s="2888" t="s">
        <v>3241</v>
      </c>
      <c r="MVS6" s="2888" t="s">
        <v>3241</v>
      </c>
      <c r="MVT6" s="2888" t="s">
        <v>3241</v>
      </c>
      <c r="MVU6" s="2888" t="s">
        <v>3241</v>
      </c>
      <c r="MVV6" s="2888" t="s">
        <v>3241</v>
      </c>
      <c r="MVW6" s="2888" t="s">
        <v>3241</v>
      </c>
      <c r="MVX6" s="2888" t="s">
        <v>3241</v>
      </c>
      <c r="MVY6" s="2888" t="s">
        <v>3241</v>
      </c>
      <c r="MVZ6" s="2888" t="s">
        <v>3241</v>
      </c>
      <c r="MWA6" s="2888" t="s">
        <v>3241</v>
      </c>
      <c r="MWB6" s="2888" t="s">
        <v>3241</v>
      </c>
      <c r="MWC6" s="2888" t="s">
        <v>3241</v>
      </c>
      <c r="MWD6" s="2888" t="s">
        <v>3241</v>
      </c>
      <c r="MWE6" s="2888" t="s">
        <v>3241</v>
      </c>
      <c r="MWF6" s="2888" t="s">
        <v>3241</v>
      </c>
      <c r="MWG6" s="2888" t="s">
        <v>3241</v>
      </c>
      <c r="MWH6" s="2888" t="s">
        <v>3241</v>
      </c>
      <c r="MWI6" s="2888" t="s">
        <v>3241</v>
      </c>
      <c r="MWJ6" s="2888" t="s">
        <v>3241</v>
      </c>
      <c r="MWK6" s="2888" t="s">
        <v>3241</v>
      </c>
      <c r="MWL6" s="2888" t="s">
        <v>3241</v>
      </c>
      <c r="MWM6" s="2888" t="s">
        <v>3241</v>
      </c>
      <c r="MWN6" s="2888" t="s">
        <v>3241</v>
      </c>
      <c r="MWO6" s="2888" t="s">
        <v>3241</v>
      </c>
      <c r="MWP6" s="2888" t="s">
        <v>3241</v>
      </c>
      <c r="MWQ6" s="2888" t="s">
        <v>3241</v>
      </c>
      <c r="MWR6" s="2888" t="s">
        <v>3241</v>
      </c>
      <c r="MWS6" s="2888" t="s">
        <v>3241</v>
      </c>
      <c r="MWT6" s="2888" t="s">
        <v>3241</v>
      </c>
      <c r="MWU6" s="2888" t="s">
        <v>3241</v>
      </c>
      <c r="MWV6" s="2888" t="s">
        <v>3241</v>
      </c>
      <c r="MWW6" s="2888" t="s">
        <v>3241</v>
      </c>
      <c r="MWX6" s="2888" t="s">
        <v>3241</v>
      </c>
      <c r="MWY6" s="2888" t="s">
        <v>3241</v>
      </c>
      <c r="MWZ6" s="2888" t="s">
        <v>3241</v>
      </c>
      <c r="MXA6" s="2888" t="s">
        <v>3241</v>
      </c>
      <c r="MXB6" s="2888" t="s">
        <v>3241</v>
      </c>
      <c r="MXC6" s="2888" t="s">
        <v>3241</v>
      </c>
      <c r="MXD6" s="2888" t="s">
        <v>3241</v>
      </c>
      <c r="MXE6" s="2888" t="s">
        <v>3241</v>
      </c>
      <c r="MXF6" s="2888" t="s">
        <v>3241</v>
      </c>
      <c r="MXG6" s="2888" t="s">
        <v>3241</v>
      </c>
      <c r="MXH6" s="2888" t="s">
        <v>3241</v>
      </c>
      <c r="MXI6" s="2888" t="s">
        <v>3241</v>
      </c>
      <c r="MXJ6" s="2888" t="s">
        <v>3241</v>
      </c>
      <c r="MXK6" s="2888" t="s">
        <v>3241</v>
      </c>
      <c r="MXL6" s="2888" t="s">
        <v>3241</v>
      </c>
      <c r="MXM6" s="2888" t="s">
        <v>3241</v>
      </c>
      <c r="MXN6" s="2888" t="s">
        <v>3241</v>
      </c>
      <c r="MXO6" s="2888" t="s">
        <v>3241</v>
      </c>
      <c r="MXP6" s="2888" t="s">
        <v>3241</v>
      </c>
      <c r="MXQ6" s="2888" t="s">
        <v>3241</v>
      </c>
      <c r="MXR6" s="2888" t="s">
        <v>3241</v>
      </c>
      <c r="MXS6" s="2888" t="s">
        <v>3241</v>
      </c>
      <c r="MXT6" s="2888" t="s">
        <v>3241</v>
      </c>
      <c r="MXU6" s="2888" t="s">
        <v>3241</v>
      </c>
      <c r="MXV6" s="2888" t="s">
        <v>3241</v>
      </c>
      <c r="MXW6" s="2888" t="s">
        <v>3241</v>
      </c>
      <c r="MXX6" s="2888" t="s">
        <v>3241</v>
      </c>
      <c r="MXY6" s="2888" t="s">
        <v>3241</v>
      </c>
      <c r="MXZ6" s="2888" t="s">
        <v>3241</v>
      </c>
      <c r="MYA6" s="2888" t="s">
        <v>3241</v>
      </c>
      <c r="MYB6" s="2888" t="s">
        <v>3241</v>
      </c>
      <c r="MYC6" s="2888" t="s">
        <v>3241</v>
      </c>
      <c r="MYD6" s="2888" t="s">
        <v>3241</v>
      </c>
      <c r="MYE6" s="2888" t="s">
        <v>3241</v>
      </c>
      <c r="MYF6" s="2888" t="s">
        <v>3241</v>
      </c>
      <c r="MYG6" s="2888" t="s">
        <v>3241</v>
      </c>
      <c r="MYH6" s="2888" t="s">
        <v>3241</v>
      </c>
      <c r="MYI6" s="2888" t="s">
        <v>3241</v>
      </c>
      <c r="MYJ6" s="2888" t="s">
        <v>3241</v>
      </c>
      <c r="MYK6" s="2888" t="s">
        <v>3241</v>
      </c>
      <c r="MYL6" s="2888" t="s">
        <v>3241</v>
      </c>
      <c r="MYM6" s="2888" t="s">
        <v>3241</v>
      </c>
      <c r="MYN6" s="2888" t="s">
        <v>3241</v>
      </c>
      <c r="MYO6" s="2888" t="s">
        <v>3241</v>
      </c>
      <c r="MYP6" s="2888" t="s">
        <v>3241</v>
      </c>
      <c r="MYQ6" s="2888" t="s">
        <v>3241</v>
      </c>
      <c r="MYR6" s="2888" t="s">
        <v>3241</v>
      </c>
      <c r="MYS6" s="2888" t="s">
        <v>3241</v>
      </c>
      <c r="MYT6" s="2888" t="s">
        <v>3241</v>
      </c>
      <c r="MYU6" s="2888" t="s">
        <v>3241</v>
      </c>
      <c r="MYV6" s="2888" t="s">
        <v>3241</v>
      </c>
      <c r="MYW6" s="2888" t="s">
        <v>3241</v>
      </c>
      <c r="MYX6" s="2888" t="s">
        <v>3241</v>
      </c>
      <c r="MYY6" s="2888" t="s">
        <v>3241</v>
      </c>
      <c r="MYZ6" s="2888" t="s">
        <v>3241</v>
      </c>
      <c r="MZA6" s="2888" t="s">
        <v>3241</v>
      </c>
      <c r="MZB6" s="2888" t="s">
        <v>3241</v>
      </c>
      <c r="MZC6" s="2888" t="s">
        <v>3241</v>
      </c>
      <c r="MZD6" s="2888" t="s">
        <v>3241</v>
      </c>
      <c r="MZE6" s="2888" t="s">
        <v>3241</v>
      </c>
      <c r="MZF6" s="2888" t="s">
        <v>3241</v>
      </c>
      <c r="MZG6" s="2888" t="s">
        <v>3241</v>
      </c>
      <c r="MZH6" s="2888" t="s">
        <v>3241</v>
      </c>
      <c r="MZI6" s="2888" t="s">
        <v>3241</v>
      </c>
      <c r="MZJ6" s="2888" t="s">
        <v>3241</v>
      </c>
      <c r="MZK6" s="2888" t="s">
        <v>3241</v>
      </c>
      <c r="MZL6" s="2888" t="s">
        <v>3241</v>
      </c>
      <c r="MZM6" s="2888" t="s">
        <v>3241</v>
      </c>
      <c r="MZN6" s="2888" t="s">
        <v>3241</v>
      </c>
      <c r="MZO6" s="2888" t="s">
        <v>3241</v>
      </c>
      <c r="MZP6" s="2888" t="s">
        <v>3241</v>
      </c>
      <c r="MZQ6" s="2888" t="s">
        <v>3241</v>
      </c>
      <c r="MZR6" s="2888" t="s">
        <v>3241</v>
      </c>
      <c r="MZS6" s="2888" t="s">
        <v>3241</v>
      </c>
      <c r="MZT6" s="2888" t="s">
        <v>3241</v>
      </c>
      <c r="MZU6" s="2888" t="s">
        <v>3241</v>
      </c>
      <c r="MZV6" s="2888" t="s">
        <v>3241</v>
      </c>
      <c r="MZW6" s="2888" t="s">
        <v>3241</v>
      </c>
      <c r="MZX6" s="2888" t="s">
        <v>3241</v>
      </c>
      <c r="MZY6" s="2888" t="s">
        <v>3241</v>
      </c>
      <c r="MZZ6" s="2888" t="s">
        <v>3241</v>
      </c>
      <c r="NAA6" s="2888" t="s">
        <v>3241</v>
      </c>
      <c r="NAB6" s="2888" t="s">
        <v>3241</v>
      </c>
      <c r="NAC6" s="2888" t="s">
        <v>3241</v>
      </c>
      <c r="NAD6" s="2888" t="s">
        <v>3241</v>
      </c>
      <c r="NAE6" s="2888" t="s">
        <v>3241</v>
      </c>
      <c r="NAF6" s="2888" t="s">
        <v>3241</v>
      </c>
      <c r="NAG6" s="2888" t="s">
        <v>3241</v>
      </c>
      <c r="NAH6" s="2888" t="s">
        <v>3241</v>
      </c>
      <c r="NAI6" s="2888" t="s">
        <v>3241</v>
      </c>
      <c r="NAJ6" s="2888" t="s">
        <v>3241</v>
      </c>
      <c r="NAK6" s="2888" t="s">
        <v>3241</v>
      </c>
      <c r="NAL6" s="2888" t="s">
        <v>3241</v>
      </c>
      <c r="NAM6" s="2888" t="s">
        <v>3241</v>
      </c>
      <c r="NAN6" s="2888" t="s">
        <v>3241</v>
      </c>
      <c r="NAO6" s="2888" t="s">
        <v>3241</v>
      </c>
      <c r="NAP6" s="2888" t="s">
        <v>3241</v>
      </c>
      <c r="NAQ6" s="2888" t="s">
        <v>3241</v>
      </c>
      <c r="NAR6" s="2888" t="s">
        <v>3241</v>
      </c>
      <c r="NAS6" s="2888" t="s">
        <v>3241</v>
      </c>
      <c r="NAT6" s="2888" t="s">
        <v>3241</v>
      </c>
      <c r="NAU6" s="2888" t="s">
        <v>3241</v>
      </c>
      <c r="NAV6" s="2888" t="s">
        <v>3241</v>
      </c>
      <c r="NAW6" s="2888" t="s">
        <v>3241</v>
      </c>
      <c r="NAX6" s="2888" t="s">
        <v>3241</v>
      </c>
      <c r="NAY6" s="2888" t="s">
        <v>3241</v>
      </c>
      <c r="NAZ6" s="2888" t="s">
        <v>3241</v>
      </c>
      <c r="NBA6" s="2888" t="s">
        <v>3241</v>
      </c>
      <c r="NBB6" s="2888" t="s">
        <v>3241</v>
      </c>
      <c r="NBC6" s="2888" t="s">
        <v>3241</v>
      </c>
      <c r="NBD6" s="2888" t="s">
        <v>3241</v>
      </c>
      <c r="NBE6" s="2888" t="s">
        <v>3241</v>
      </c>
      <c r="NBF6" s="2888" t="s">
        <v>3241</v>
      </c>
      <c r="NBG6" s="2888" t="s">
        <v>3241</v>
      </c>
      <c r="NBH6" s="2888" t="s">
        <v>3241</v>
      </c>
      <c r="NBI6" s="2888" t="s">
        <v>3241</v>
      </c>
      <c r="NBJ6" s="2888" t="s">
        <v>3241</v>
      </c>
      <c r="NBK6" s="2888" t="s">
        <v>3241</v>
      </c>
      <c r="NBL6" s="2888" t="s">
        <v>3241</v>
      </c>
      <c r="NBM6" s="2888" t="s">
        <v>3241</v>
      </c>
      <c r="NBN6" s="2888" t="s">
        <v>3241</v>
      </c>
      <c r="NBO6" s="2888" t="s">
        <v>3241</v>
      </c>
      <c r="NBP6" s="2888" t="s">
        <v>3241</v>
      </c>
      <c r="NBQ6" s="2888" t="s">
        <v>3241</v>
      </c>
      <c r="NBR6" s="2888" t="s">
        <v>3241</v>
      </c>
      <c r="NBS6" s="2888" t="s">
        <v>3241</v>
      </c>
      <c r="NBT6" s="2888" t="s">
        <v>3241</v>
      </c>
      <c r="NBU6" s="2888" t="s">
        <v>3241</v>
      </c>
      <c r="NBV6" s="2888" t="s">
        <v>3241</v>
      </c>
      <c r="NBW6" s="2888" t="s">
        <v>3241</v>
      </c>
      <c r="NBX6" s="2888" t="s">
        <v>3241</v>
      </c>
      <c r="NBY6" s="2888" t="s">
        <v>3241</v>
      </c>
      <c r="NBZ6" s="2888" t="s">
        <v>3241</v>
      </c>
      <c r="NCA6" s="2888" t="s">
        <v>3241</v>
      </c>
      <c r="NCB6" s="2888" t="s">
        <v>3241</v>
      </c>
      <c r="NCC6" s="2888" t="s">
        <v>3241</v>
      </c>
      <c r="NCD6" s="2888" t="s">
        <v>3241</v>
      </c>
      <c r="NCE6" s="2888" t="s">
        <v>3241</v>
      </c>
      <c r="NCF6" s="2888" t="s">
        <v>3241</v>
      </c>
      <c r="NCG6" s="2888" t="s">
        <v>3241</v>
      </c>
      <c r="NCH6" s="2888" t="s">
        <v>3241</v>
      </c>
      <c r="NCI6" s="2888" t="s">
        <v>3241</v>
      </c>
      <c r="NCJ6" s="2888" t="s">
        <v>3241</v>
      </c>
      <c r="NCK6" s="2888" t="s">
        <v>3241</v>
      </c>
      <c r="NCL6" s="2888" t="s">
        <v>3241</v>
      </c>
      <c r="NCM6" s="2888" t="s">
        <v>3241</v>
      </c>
      <c r="NCN6" s="2888" t="s">
        <v>3241</v>
      </c>
      <c r="NCO6" s="2888" t="s">
        <v>3241</v>
      </c>
      <c r="NCP6" s="2888" t="s">
        <v>3241</v>
      </c>
      <c r="NCQ6" s="2888" t="s">
        <v>3241</v>
      </c>
      <c r="NCR6" s="2888" t="s">
        <v>3241</v>
      </c>
      <c r="NCS6" s="2888" t="s">
        <v>3241</v>
      </c>
      <c r="NCT6" s="2888" t="s">
        <v>3241</v>
      </c>
      <c r="NCU6" s="2888" t="s">
        <v>3241</v>
      </c>
      <c r="NCV6" s="2888" t="s">
        <v>3241</v>
      </c>
      <c r="NCW6" s="2888" t="s">
        <v>3241</v>
      </c>
      <c r="NCX6" s="2888" t="s">
        <v>3241</v>
      </c>
      <c r="NCY6" s="2888" t="s">
        <v>3241</v>
      </c>
      <c r="NCZ6" s="2888" t="s">
        <v>3241</v>
      </c>
      <c r="NDA6" s="2888" t="s">
        <v>3241</v>
      </c>
      <c r="NDB6" s="2888" t="s">
        <v>3241</v>
      </c>
      <c r="NDC6" s="2888" t="s">
        <v>3241</v>
      </c>
      <c r="NDD6" s="2888" t="s">
        <v>3241</v>
      </c>
      <c r="NDE6" s="2888" t="s">
        <v>3241</v>
      </c>
      <c r="NDF6" s="2888" t="s">
        <v>3241</v>
      </c>
      <c r="NDG6" s="2888" t="s">
        <v>3241</v>
      </c>
      <c r="NDH6" s="2888" t="s">
        <v>3241</v>
      </c>
      <c r="NDI6" s="2888" t="s">
        <v>3241</v>
      </c>
      <c r="NDJ6" s="2888" t="s">
        <v>3241</v>
      </c>
      <c r="NDK6" s="2888" t="s">
        <v>3241</v>
      </c>
      <c r="NDL6" s="2888" t="s">
        <v>3241</v>
      </c>
      <c r="NDM6" s="2888" t="s">
        <v>3241</v>
      </c>
      <c r="NDN6" s="2888" t="s">
        <v>3241</v>
      </c>
      <c r="NDO6" s="2888" t="s">
        <v>3241</v>
      </c>
      <c r="NDP6" s="2888" t="s">
        <v>3241</v>
      </c>
      <c r="NDQ6" s="2888" t="s">
        <v>3241</v>
      </c>
      <c r="NDR6" s="2888" t="s">
        <v>3241</v>
      </c>
      <c r="NDS6" s="2888" t="s">
        <v>3241</v>
      </c>
      <c r="NDT6" s="2888" t="s">
        <v>3241</v>
      </c>
      <c r="NDU6" s="2888" t="s">
        <v>3241</v>
      </c>
      <c r="NDV6" s="2888" t="s">
        <v>3241</v>
      </c>
      <c r="NDW6" s="2888" t="s">
        <v>3241</v>
      </c>
      <c r="NDX6" s="2888" t="s">
        <v>3241</v>
      </c>
      <c r="NDY6" s="2888" t="s">
        <v>3241</v>
      </c>
      <c r="NDZ6" s="2888" t="s">
        <v>3241</v>
      </c>
      <c r="NEA6" s="2888" t="s">
        <v>3241</v>
      </c>
      <c r="NEB6" s="2888" t="s">
        <v>3241</v>
      </c>
      <c r="NEC6" s="2888" t="s">
        <v>3241</v>
      </c>
      <c r="NED6" s="2888" t="s">
        <v>3241</v>
      </c>
      <c r="NEE6" s="2888" t="s">
        <v>3241</v>
      </c>
      <c r="NEF6" s="2888" t="s">
        <v>3241</v>
      </c>
      <c r="NEG6" s="2888" t="s">
        <v>3241</v>
      </c>
      <c r="NEH6" s="2888" t="s">
        <v>3241</v>
      </c>
      <c r="NEI6" s="2888" t="s">
        <v>3241</v>
      </c>
      <c r="NEJ6" s="2888" t="s">
        <v>3241</v>
      </c>
      <c r="NEK6" s="2888" t="s">
        <v>3241</v>
      </c>
      <c r="NEL6" s="2888" t="s">
        <v>3241</v>
      </c>
      <c r="NEM6" s="2888" t="s">
        <v>3241</v>
      </c>
      <c r="NEN6" s="2888" t="s">
        <v>3241</v>
      </c>
      <c r="NEO6" s="2888" t="s">
        <v>3241</v>
      </c>
      <c r="NEP6" s="2888" t="s">
        <v>3241</v>
      </c>
      <c r="NEQ6" s="2888" t="s">
        <v>3241</v>
      </c>
      <c r="NER6" s="2888" t="s">
        <v>3241</v>
      </c>
      <c r="NES6" s="2888" t="s">
        <v>3241</v>
      </c>
      <c r="NET6" s="2888" t="s">
        <v>3241</v>
      </c>
      <c r="NEU6" s="2888" t="s">
        <v>3241</v>
      </c>
      <c r="NEV6" s="2888" t="s">
        <v>3241</v>
      </c>
      <c r="NEW6" s="2888" t="s">
        <v>3241</v>
      </c>
      <c r="NEX6" s="2888" t="s">
        <v>3241</v>
      </c>
      <c r="NEY6" s="2888" t="s">
        <v>3241</v>
      </c>
      <c r="NEZ6" s="2888" t="s">
        <v>3241</v>
      </c>
      <c r="NFA6" s="2888" t="s">
        <v>3241</v>
      </c>
      <c r="NFB6" s="2888" t="s">
        <v>3241</v>
      </c>
      <c r="NFC6" s="2888" t="s">
        <v>3241</v>
      </c>
      <c r="NFD6" s="2888" t="s">
        <v>3241</v>
      </c>
      <c r="NFE6" s="2888" t="s">
        <v>3241</v>
      </c>
      <c r="NFF6" s="2888" t="s">
        <v>3241</v>
      </c>
      <c r="NFG6" s="2888" t="s">
        <v>3241</v>
      </c>
      <c r="NFH6" s="2888" t="s">
        <v>3241</v>
      </c>
      <c r="NFI6" s="2888" t="s">
        <v>3241</v>
      </c>
      <c r="NFJ6" s="2888" t="s">
        <v>3241</v>
      </c>
      <c r="NFK6" s="2888" t="s">
        <v>3241</v>
      </c>
      <c r="NFL6" s="2888" t="s">
        <v>3241</v>
      </c>
      <c r="NFM6" s="2888" t="s">
        <v>3241</v>
      </c>
      <c r="NFN6" s="2888" t="s">
        <v>3241</v>
      </c>
      <c r="NFO6" s="2888" t="s">
        <v>3241</v>
      </c>
      <c r="NFP6" s="2888" t="s">
        <v>3241</v>
      </c>
      <c r="NFQ6" s="2888" t="s">
        <v>3241</v>
      </c>
      <c r="NFR6" s="2888" t="s">
        <v>3241</v>
      </c>
      <c r="NFS6" s="2888" t="s">
        <v>3241</v>
      </c>
      <c r="NFT6" s="2888" t="s">
        <v>3241</v>
      </c>
      <c r="NFU6" s="2888" t="s">
        <v>3241</v>
      </c>
      <c r="NFV6" s="2888" t="s">
        <v>3241</v>
      </c>
      <c r="NFW6" s="2888" t="s">
        <v>3241</v>
      </c>
      <c r="NFX6" s="2888" t="s">
        <v>3241</v>
      </c>
      <c r="NFY6" s="2888" t="s">
        <v>3241</v>
      </c>
      <c r="NFZ6" s="2888" t="s">
        <v>3241</v>
      </c>
      <c r="NGA6" s="2888" t="s">
        <v>3241</v>
      </c>
      <c r="NGB6" s="2888" t="s">
        <v>3241</v>
      </c>
      <c r="NGC6" s="2888" t="s">
        <v>3241</v>
      </c>
      <c r="NGD6" s="2888" t="s">
        <v>3241</v>
      </c>
      <c r="NGE6" s="2888" t="s">
        <v>3241</v>
      </c>
      <c r="NGF6" s="2888" t="s">
        <v>3241</v>
      </c>
      <c r="NGG6" s="2888" t="s">
        <v>3241</v>
      </c>
      <c r="NGH6" s="2888" t="s">
        <v>3241</v>
      </c>
      <c r="NGI6" s="2888" t="s">
        <v>3241</v>
      </c>
      <c r="NGJ6" s="2888" t="s">
        <v>3241</v>
      </c>
      <c r="NGK6" s="2888" t="s">
        <v>3241</v>
      </c>
      <c r="NGL6" s="2888" t="s">
        <v>3241</v>
      </c>
      <c r="NGM6" s="2888" t="s">
        <v>3241</v>
      </c>
      <c r="NGN6" s="2888" t="s">
        <v>3241</v>
      </c>
      <c r="NGO6" s="2888" t="s">
        <v>3241</v>
      </c>
      <c r="NGP6" s="2888" t="s">
        <v>3241</v>
      </c>
      <c r="NGQ6" s="2888" t="s">
        <v>3241</v>
      </c>
      <c r="NGR6" s="2888" t="s">
        <v>3241</v>
      </c>
      <c r="NGS6" s="2888" t="s">
        <v>3241</v>
      </c>
      <c r="NGT6" s="2888" t="s">
        <v>3241</v>
      </c>
      <c r="NGU6" s="2888" t="s">
        <v>3241</v>
      </c>
      <c r="NGV6" s="2888" t="s">
        <v>3241</v>
      </c>
      <c r="NGW6" s="2888" t="s">
        <v>3241</v>
      </c>
      <c r="NGX6" s="2888" t="s">
        <v>3241</v>
      </c>
      <c r="NGY6" s="2888" t="s">
        <v>3241</v>
      </c>
      <c r="NGZ6" s="2888" t="s">
        <v>3241</v>
      </c>
      <c r="NHA6" s="2888" t="s">
        <v>3241</v>
      </c>
      <c r="NHB6" s="2888" t="s">
        <v>3241</v>
      </c>
      <c r="NHC6" s="2888" t="s">
        <v>3241</v>
      </c>
      <c r="NHD6" s="2888" t="s">
        <v>3241</v>
      </c>
      <c r="NHE6" s="2888" t="s">
        <v>3241</v>
      </c>
      <c r="NHF6" s="2888" t="s">
        <v>3241</v>
      </c>
      <c r="NHG6" s="2888" t="s">
        <v>3241</v>
      </c>
      <c r="NHH6" s="2888" t="s">
        <v>3241</v>
      </c>
      <c r="NHI6" s="2888" t="s">
        <v>3241</v>
      </c>
      <c r="NHJ6" s="2888" t="s">
        <v>3241</v>
      </c>
      <c r="NHK6" s="2888" t="s">
        <v>3241</v>
      </c>
      <c r="NHL6" s="2888" t="s">
        <v>3241</v>
      </c>
      <c r="NHM6" s="2888" t="s">
        <v>3241</v>
      </c>
      <c r="NHN6" s="2888" t="s">
        <v>3241</v>
      </c>
      <c r="NHO6" s="2888" t="s">
        <v>3241</v>
      </c>
      <c r="NHP6" s="2888" t="s">
        <v>3241</v>
      </c>
      <c r="NHQ6" s="2888" t="s">
        <v>3241</v>
      </c>
      <c r="NHR6" s="2888" t="s">
        <v>3241</v>
      </c>
      <c r="NHS6" s="2888" t="s">
        <v>3241</v>
      </c>
      <c r="NHT6" s="2888" t="s">
        <v>3241</v>
      </c>
      <c r="NHU6" s="2888" t="s">
        <v>3241</v>
      </c>
      <c r="NHV6" s="2888" t="s">
        <v>3241</v>
      </c>
      <c r="NHW6" s="2888" t="s">
        <v>3241</v>
      </c>
      <c r="NHX6" s="2888" t="s">
        <v>3241</v>
      </c>
      <c r="NHY6" s="2888" t="s">
        <v>3241</v>
      </c>
      <c r="NHZ6" s="2888" t="s">
        <v>3241</v>
      </c>
      <c r="NIA6" s="2888" t="s">
        <v>3241</v>
      </c>
      <c r="NIB6" s="2888" t="s">
        <v>3241</v>
      </c>
      <c r="NIC6" s="2888" t="s">
        <v>3241</v>
      </c>
      <c r="NID6" s="2888" t="s">
        <v>3241</v>
      </c>
      <c r="NIE6" s="2888" t="s">
        <v>3241</v>
      </c>
      <c r="NIF6" s="2888" t="s">
        <v>3241</v>
      </c>
      <c r="NIG6" s="2888" t="s">
        <v>3241</v>
      </c>
      <c r="NIH6" s="2888" t="s">
        <v>3241</v>
      </c>
      <c r="NII6" s="2888" t="s">
        <v>3241</v>
      </c>
      <c r="NIJ6" s="2888" t="s">
        <v>3241</v>
      </c>
      <c r="NIK6" s="2888" t="s">
        <v>3241</v>
      </c>
      <c r="NIL6" s="2888" t="s">
        <v>3241</v>
      </c>
      <c r="NIM6" s="2888" t="s">
        <v>3241</v>
      </c>
      <c r="NIN6" s="2888" t="s">
        <v>3241</v>
      </c>
      <c r="NIO6" s="2888" t="s">
        <v>3241</v>
      </c>
      <c r="NIP6" s="2888" t="s">
        <v>3241</v>
      </c>
      <c r="NIQ6" s="2888" t="s">
        <v>3241</v>
      </c>
      <c r="NIR6" s="2888" t="s">
        <v>3241</v>
      </c>
      <c r="NIS6" s="2888" t="s">
        <v>3241</v>
      </c>
      <c r="NIT6" s="2888" t="s">
        <v>3241</v>
      </c>
      <c r="NIU6" s="2888" t="s">
        <v>3241</v>
      </c>
      <c r="NIV6" s="2888" t="s">
        <v>3241</v>
      </c>
      <c r="NIW6" s="2888" t="s">
        <v>3241</v>
      </c>
      <c r="NIX6" s="2888" t="s">
        <v>3241</v>
      </c>
      <c r="NIY6" s="2888" t="s">
        <v>3241</v>
      </c>
      <c r="NIZ6" s="2888" t="s">
        <v>3241</v>
      </c>
      <c r="NJA6" s="2888" t="s">
        <v>3241</v>
      </c>
      <c r="NJB6" s="2888" t="s">
        <v>3241</v>
      </c>
      <c r="NJC6" s="2888" t="s">
        <v>3241</v>
      </c>
      <c r="NJD6" s="2888" t="s">
        <v>3241</v>
      </c>
      <c r="NJE6" s="2888" t="s">
        <v>3241</v>
      </c>
      <c r="NJF6" s="2888" t="s">
        <v>3241</v>
      </c>
      <c r="NJG6" s="2888" t="s">
        <v>3241</v>
      </c>
      <c r="NJH6" s="2888" t="s">
        <v>3241</v>
      </c>
      <c r="NJI6" s="2888" t="s">
        <v>3241</v>
      </c>
      <c r="NJJ6" s="2888" t="s">
        <v>3241</v>
      </c>
      <c r="NJK6" s="2888" t="s">
        <v>3241</v>
      </c>
      <c r="NJL6" s="2888" t="s">
        <v>3241</v>
      </c>
      <c r="NJM6" s="2888" t="s">
        <v>3241</v>
      </c>
      <c r="NJN6" s="2888" t="s">
        <v>3241</v>
      </c>
      <c r="NJO6" s="2888" t="s">
        <v>3241</v>
      </c>
      <c r="NJP6" s="2888" t="s">
        <v>3241</v>
      </c>
      <c r="NJQ6" s="2888" t="s">
        <v>3241</v>
      </c>
      <c r="NJR6" s="2888" t="s">
        <v>3241</v>
      </c>
      <c r="NJS6" s="2888" t="s">
        <v>3241</v>
      </c>
      <c r="NJT6" s="2888" t="s">
        <v>3241</v>
      </c>
      <c r="NJU6" s="2888" t="s">
        <v>3241</v>
      </c>
      <c r="NJV6" s="2888" t="s">
        <v>3241</v>
      </c>
      <c r="NJW6" s="2888" t="s">
        <v>3241</v>
      </c>
      <c r="NJX6" s="2888" t="s">
        <v>3241</v>
      </c>
      <c r="NJY6" s="2888" t="s">
        <v>3241</v>
      </c>
      <c r="NJZ6" s="2888" t="s">
        <v>3241</v>
      </c>
      <c r="NKA6" s="2888" t="s">
        <v>3241</v>
      </c>
      <c r="NKB6" s="2888" t="s">
        <v>3241</v>
      </c>
      <c r="NKC6" s="2888" t="s">
        <v>3241</v>
      </c>
      <c r="NKD6" s="2888" t="s">
        <v>3241</v>
      </c>
      <c r="NKE6" s="2888" t="s">
        <v>3241</v>
      </c>
      <c r="NKF6" s="2888" t="s">
        <v>3241</v>
      </c>
      <c r="NKG6" s="2888" t="s">
        <v>3241</v>
      </c>
      <c r="NKH6" s="2888" t="s">
        <v>3241</v>
      </c>
      <c r="NKI6" s="2888" t="s">
        <v>3241</v>
      </c>
      <c r="NKJ6" s="2888" t="s">
        <v>3241</v>
      </c>
      <c r="NKK6" s="2888" t="s">
        <v>3241</v>
      </c>
      <c r="NKL6" s="2888" t="s">
        <v>3241</v>
      </c>
      <c r="NKM6" s="2888" t="s">
        <v>3241</v>
      </c>
      <c r="NKN6" s="2888" t="s">
        <v>3241</v>
      </c>
      <c r="NKO6" s="2888" t="s">
        <v>3241</v>
      </c>
      <c r="NKP6" s="2888" t="s">
        <v>3241</v>
      </c>
      <c r="NKQ6" s="2888" t="s">
        <v>3241</v>
      </c>
      <c r="NKR6" s="2888" t="s">
        <v>3241</v>
      </c>
      <c r="NKS6" s="2888" t="s">
        <v>3241</v>
      </c>
      <c r="NKT6" s="2888" t="s">
        <v>3241</v>
      </c>
      <c r="NKU6" s="2888" t="s">
        <v>3241</v>
      </c>
      <c r="NKV6" s="2888" t="s">
        <v>3241</v>
      </c>
      <c r="NKW6" s="2888" t="s">
        <v>3241</v>
      </c>
      <c r="NKX6" s="2888" t="s">
        <v>3241</v>
      </c>
      <c r="NKY6" s="2888" t="s">
        <v>3241</v>
      </c>
      <c r="NKZ6" s="2888" t="s">
        <v>3241</v>
      </c>
      <c r="NLA6" s="2888" t="s">
        <v>3241</v>
      </c>
      <c r="NLB6" s="2888" t="s">
        <v>3241</v>
      </c>
      <c r="NLC6" s="2888" t="s">
        <v>3241</v>
      </c>
      <c r="NLD6" s="2888" t="s">
        <v>3241</v>
      </c>
      <c r="NLE6" s="2888" t="s">
        <v>3241</v>
      </c>
      <c r="NLF6" s="2888" t="s">
        <v>3241</v>
      </c>
      <c r="NLG6" s="2888" t="s">
        <v>3241</v>
      </c>
      <c r="NLH6" s="2888" t="s">
        <v>3241</v>
      </c>
      <c r="NLI6" s="2888" t="s">
        <v>3241</v>
      </c>
      <c r="NLJ6" s="2888" t="s">
        <v>3241</v>
      </c>
      <c r="NLK6" s="2888" t="s">
        <v>3241</v>
      </c>
      <c r="NLL6" s="2888" t="s">
        <v>3241</v>
      </c>
      <c r="NLM6" s="2888" t="s">
        <v>3241</v>
      </c>
      <c r="NLN6" s="2888" t="s">
        <v>3241</v>
      </c>
      <c r="NLO6" s="2888" t="s">
        <v>3241</v>
      </c>
      <c r="NLP6" s="2888" t="s">
        <v>3241</v>
      </c>
      <c r="NLQ6" s="2888" t="s">
        <v>3241</v>
      </c>
      <c r="NLR6" s="2888" t="s">
        <v>3241</v>
      </c>
      <c r="NLS6" s="2888" t="s">
        <v>3241</v>
      </c>
      <c r="NLT6" s="2888" t="s">
        <v>3241</v>
      </c>
      <c r="NLU6" s="2888" t="s">
        <v>3241</v>
      </c>
      <c r="NLV6" s="2888" t="s">
        <v>3241</v>
      </c>
      <c r="NLW6" s="2888" t="s">
        <v>3241</v>
      </c>
      <c r="NLX6" s="2888" t="s">
        <v>3241</v>
      </c>
      <c r="NLY6" s="2888" t="s">
        <v>3241</v>
      </c>
      <c r="NLZ6" s="2888" t="s">
        <v>3241</v>
      </c>
      <c r="NMA6" s="2888" t="s">
        <v>3241</v>
      </c>
      <c r="NMB6" s="2888" t="s">
        <v>3241</v>
      </c>
      <c r="NMC6" s="2888" t="s">
        <v>3241</v>
      </c>
      <c r="NMD6" s="2888" t="s">
        <v>3241</v>
      </c>
      <c r="NME6" s="2888" t="s">
        <v>3241</v>
      </c>
      <c r="NMF6" s="2888" t="s">
        <v>3241</v>
      </c>
      <c r="NMG6" s="2888" t="s">
        <v>3241</v>
      </c>
      <c r="NMH6" s="2888" t="s">
        <v>3241</v>
      </c>
      <c r="NMI6" s="2888" t="s">
        <v>3241</v>
      </c>
      <c r="NMJ6" s="2888" t="s">
        <v>3241</v>
      </c>
      <c r="NMK6" s="2888" t="s">
        <v>3241</v>
      </c>
      <c r="NML6" s="2888" t="s">
        <v>3241</v>
      </c>
      <c r="NMM6" s="2888" t="s">
        <v>3241</v>
      </c>
      <c r="NMN6" s="2888" t="s">
        <v>3241</v>
      </c>
      <c r="NMO6" s="2888" t="s">
        <v>3241</v>
      </c>
      <c r="NMP6" s="2888" t="s">
        <v>3241</v>
      </c>
      <c r="NMQ6" s="2888" t="s">
        <v>3241</v>
      </c>
      <c r="NMR6" s="2888" t="s">
        <v>3241</v>
      </c>
      <c r="NMS6" s="2888" t="s">
        <v>3241</v>
      </c>
      <c r="NMT6" s="2888" t="s">
        <v>3241</v>
      </c>
      <c r="NMU6" s="2888" t="s">
        <v>3241</v>
      </c>
      <c r="NMV6" s="2888" t="s">
        <v>3241</v>
      </c>
      <c r="NMW6" s="2888" t="s">
        <v>3241</v>
      </c>
      <c r="NMX6" s="2888" t="s">
        <v>3241</v>
      </c>
      <c r="NMY6" s="2888" t="s">
        <v>3241</v>
      </c>
      <c r="NMZ6" s="2888" t="s">
        <v>3241</v>
      </c>
      <c r="NNA6" s="2888" t="s">
        <v>3241</v>
      </c>
      <c r="NNB6" s="2888" t="s">
        <v>3241</v>
      </c>
      <c r="NNC6" s="2888" t="s">
        <v>3241</v>
      </c>
      <c r="NND6" s="2888" t="s">
        <v>3241</v>
      </c>
      <c r="NNE6" s="2888" t="s">
        <v>3241</v>
      </c>
      <c r="NNF6" s="2888" t="s">
        <v>3241</v>
      </c>
      <c r="NNG6" s="2888" t="s">
        <v>3241</v>
      </c>
      <c r="NNH6" s="2888" t="s">
        <v>3241</v>
      </c>
      <c r="NNI6" s="2888" t="s">
        <v>3241</v>
      </c>
      <c r="NNJ6" s="2888" t="s">
        <v>3241</v>
      </c>
      <c r="NNK6" s="2888" t="s">
        <v>3241</v>
      </c>
      <c r="NNL6" s="2888" t="s">
        <v>3241</v>
      </c>
      <c r="NNM6" s="2888" t="s">
        <v>3241</v>
      </c>
      <c r="NNN6" s="2888" t="s">
        <v>3241</v>
      </c>
      <c r="NNO6" s="2888" t="s">
        <v>3241</v>
      </c>
      <c r="NNP6" s="2888" t="s">
        <v>3241</v>
      </c>
      <c r="NNQ6" s="2888" t="s">
        <v>3241</v>
      </c>
      <c r="NNR6" s="2888" t="s">
        <v>3241</v>
      </c>
      <c r="NNS6" s="2888" t="s">
        <v>3241</v>
      </c>
      <c r="NNT6" s="2888" t="s">
        <v>3241</v>
      </c>
      <c r="NNU6" s="2888" t="s">
        <v>3241</v>
      </c>
      <c r="NNV6" s="2888" t="s">
        <v>3241</v>
      </c>
      <c r="NNW6" s="2888" t="s">
        <v>3241</v>
      </c>
      <c r="NNX6" s="2888" t="s">
        <v>3241</v>
      </c>
      <c r="NNY6" s="2888" t="s">
        <v>3241</v>
      </c>
      <c r="NNZ6" s="2888" t="s">
        <v>3241</v>
      </c>
      <c r="NOA6" s="2888" t="s">
        <v>3241</v>
      </c>
      <c r="NOB6" s="2888" t="s">
        <v>3241</v>
      </c>
      <c r="NOC6" s="2888" t="s">
        <v>3241</v>
      </c>
      <c r="NOD6" s="2888" t="s">
        <v>3241</v>
      </c>
      <c r="NOE6" s="2888" t="s">
        <v>3241</v>
      </c>
      <c r="NOF6" s="2888" t="s">
        <v>3241</v>
      </c>
      <c r="NOG6" s="2888" t="s">
        <v>3241</v>
      </c>
      <c r="NOH6" s="2888" t="s">
        <v>3241</v>
      </c>
      <c r="NOI6" s="2888" t="s">
        <v>3241</v>
      </c>
      <c r="NOJ6" s="2888" t="s">
        <v>3241</v>
      </c>
      <c r="NOK6" s="2888" t="s">
        <v>3241</v>
      </c>
      <c r="NOL6" s="2888" t="s">
        <v>3241</v>
      </c>
      <c r="NOM6" s="2888" t="s">
        <v>3241</v>
      </c>
      <c r="NON6" s="2888" t="s">
        <v>3241</v>
      </c>
      <c r="NOO6" s="2888" t="s">
        <v>3241</v>
      </c>
      <c r="NOP6" s="2888" t="s">
        <v>3241</v>
      </c>
      <c r="NOQ6" s="2888" t="s">
        <v>3241</v>
      </c>
      <c r="NOR6" s="2888" t="s">
        <v>3241</v>
      </c>
      <c r="NOS6" s="2888" t="s">
        <v>3241</v>
      </c>
      <c r="NOT6" s="2888" t="s">
        <v>3241</v>
      </c>
      <c r="NOU6" s="2888" t="s">
        <v>3241</v>
      </c>
      <c r="NOV6" s="2888" t="s">
        <v>3241</v>
      </c>
      <c r="NOW6" s="2888" t="s">
        <v>3241</v>
      </c>
      <c r="NOX6" s="2888" t="s">
        <v>3241</v>
      </c>
      <c r="NOY6" s="2888" t="s">
        <v>3241</v>
      </c>
      <c r="NOZ6" s="2888" t="s">
        <v>3241</v>
      </c>
      <c r="NPA6" s="2888" t="s">
        <v>3241</v>
      </c>
      <c r="NPB6" s="2888" t="s">
        <v>3241</v>
      </c>
      <c r="NPC6" s="2888" t="s">
        <v>3241</v>
      </c>
      <c r="NPD6" s="2888" t="s">
        <v>3241</v>
      </c>
      <c r="NPE6" s="2888" t="s">
        <v>3241</v>
      </c>
      <c r="NPF6" s="2888" t="s">
        <v>3241</v>
      </c>
      <c r="NPG6" s="2888" t="s">
        <v>3241</v>
      </c>
      <c r="NPH6" s="2888" t="s">
        <v>3241</v>
      </c>
      <c r="NPI6" s="2888" t="s">
        <v>3241</v>
      </c>
      <c r="NPJ6" s="2888" t="s">
        <v>3241</v>
      </c>
      <c r="NPK6" s="2888" t="s">
        <v>3241</v>
      </c>
      <c r="NPL6" s="2888" t="s">
        <v>3241</v>
      </c>
      <c r="NPM6" s="2888" t="s">
        <v>3241</v>
      </c>
      <c r="NPN6" s="2888" t="s">
        <v>3241</v>
      </c>
      <c r="NPO6" s="2888" t="s">
        <v>3241</v>
      </c>
      <c r="NPP6" s="2888" t="s">
        <v>3241</v>
      </c>
      <c r="NPQ6" s="2888" t="s">
        <v>3241</v>
      </c>
      <c r="NPR6" s="2888" t="s">
        <v>3241</v>
      </c>
      <c r="NPS6" s="2888" t="s">
        <v>3241</v>
      </c>
      <c r="NPT6" s="2888" t="s">
        <v>3241</v>
      </c>
      <c r="NPU6" s="2888" t="s">
        <v>3241</v>
      </c>
      <c r="NPV6" s="2888" t="s">
        <v>3241</v>
      </c>
      <c r="NPW6" s="2888" t="s">
        <v>3241</v>
      </c>
      <c r="NPX6" s="2888" t="s">
        <v>3241</v>
      </c>
      <c r="NPY6" s="2888" t="s">
        <v>3241</v>
      </c>
      <c r="NPZ6" s="2888" t="s">
        <v>3241</v>
      </c>
      <c r="NQA6" s="2888" t="s">
        <v>3241</v>
      </c>
      <c r="NQB6" s="2888" t="s">
        <v>3241</v>
      </c>
      <c r="NQC6" s="2888" t="s">
        <v>3241</v>
      </c>
      <c r="NQD6" s="2888" t="s">
        <v>3241</v>
      </c>
      <c r="NQE6" s="2888" t="s">
        <v>3241</v>
      </c>
      <c r="NQF6" s="2888" t="s">
        <v>3241</v>
      </c>
      <c r="NQG6" s="2888" t="s">
        <v>3241</v>
      </c>
      <c r="NQH6" s="2888" t="s">
        <v>3241</v>
      </c>
      <c r="NQI6" s="2888" t="s">
        <v>3241</v>
      </c>
      <c r="NQJ6" s="2888" t="s">
        <v>3241</v>
      </c>
      <c r="NQK6" s="2888" t="s">
        <v>3241</v>
      </c>
      <c r="NQL6" s="2888" t="s">
        <v>3241</v>
      </c>
      <c r="NQM6" s="2888" t="s">
        <v>3241</v>
      </c>
      <c r="NQN6" s="2888" t="s">
        <v>3241</v>
      </c>
      <c r="NQO6" s="2888" t="s">
        <v>3241</v>
      </c>
      <c r="NQP6" s="2888" t="s">
        <v>3241</v>
      </c>
      <c r="NQQ6" s="2888" t="s">
        <v>3241</v>
      </c>
      <c r="NQR6" s="2888" t="s">
        <v>3241</v>
      </c>
      <c r="NQS6" s="2888" t="s">
        <v>3241</v>
      </c>
      <c r="NQT6" s="2888" t="s">
        <v>3241</v>
      </c>
      <c r="NQU6" s="2888" t="s">
        <v>3241</v>
      </c>
      <c r="NQV6" s="2888" t="s">
        <v>3241</v>
      </c>
      <c r="NQW6" s="2888" t="s">
        <v>3241</v>
      </c>
      <c r="NQX6" s="2888" t="s">
        <v>3241</v>
      </c>
      <c r="NQY6" s="2888" t="s">
        <v>3241</v>
      </c>
      <c r="NQZ6" s="2888" t="s">
        <v>3241</v>
      </c>
      <c r="NRA6" s="2888" t="s">
        <v>3241</v>
      </c>
      <c r="NRB6" s="2888" t="s">
        <v>3241</v>
      </c>
      <c r="NRC6" s="2888" t="s">
        <v>3241</v>
      </c>
      <c r="NRD6" s="2888" t="s">
        <v>3241</v>
      </c>
      <c r="NRE6" s="2888" t="s">
        <v>3241</v>
      </c>
      <c r="NRF6" s="2888" t="s">
        <v>3241</v>
      </c>
      <c r="NRG6" s="2888" t="s">
        <v>3241</v>
      </c>
      <c r="NRH6" s="2888" t="s">
        <v>3241</v>
      </c>
      <c r="NRI6" s="2888" t="s">
        <v>3241</v>
      </c>
      <c r="NRJ6" s="2888" t="s">
        <v>3241</v>
      </c>
      <c r="NRK6" s="2888" t="s">
        <v>3241</v>
      </c>
      <c r="NRL6" s="2888" t="s">
        <v>3241</v>
      </c>
      <c r="NRM6" s="2888" t="s">
        <v>3241</v>
      </c>
      <c r="NRN6" s="2888" t="s">
        <v>3241</v>
      </c>
      <c r="NRO6" s="2888" t="s">
        <v>3241</v>
      </c>
      <c r="NRP6" s="2888" t="s">
        <v>3241</v>
      </c>
      <c r="NRQ6" s="2888" t="s">
        <v>3241</v>
      </c>
      <c r="NRR6" s="2888" t="s">
        <v>3241</v>
      </c>
      <c r="NRS6" s="2888" t="s">
        <v>3241</v>
      </c>
      <c r="NRT6" s="2888" t="s">
        <v>3241</v>
      </c>
      <c r="NRU6" s="2888" t="s">
        <v>3241</v>
      </c>
      <c r="NRV6" s="2888" t="s">
        <v>3241</v>
      </c>
      <c r="NRW6" s="2888" t="s">
        <v>3241</v>
      </c>
      <c r="NRX6" s="2888" t="s">
        <v>3241</v>
      </c>
      <c r="NRY6" s="2888" t="s">
        <v>3241</v>
      </c>
      <c r="NRZ6" s="2888" t="s">
        <v>3241</v>
      </c>
      <c r="NSA6" s="2888" t="s">
        <v>3241</v>
      </c>
      <c r="NSB6" s="2888" t="s">
        <v>3241</v>
      </c>
      <c r="NSC6" s="2888" t="s">
        <v>3241</v>
      </c>
      <c r="NSD6" s="2888" t="s">
        <v>3241</v>
      </c>
      <c r="NSE6" s="2888" t="s">
        <v>3241</v>
      </c>
      <c r="NSF6" s="2888" t="s">
        <v>3241</v>
      </c>
      <c r="NSG6" s="2888" t="s">
        <v>3241</v>
      </c>
      <c r="NSH6" s="2888" t="s">
        <v>3241</v>
      </c>
      <c r="NSI6" s="2888" t="s">
        <v>3241</v>
      </c>
      <c r="NSJ6" s="2888" t="s">
        <v>3241</v>
      </c>
      <c r="NSK6" s="2888" t="s">
        <v>3241</v>
      </c>
      <c r="NSL6" s="2888" t="s">
        <v>3241</v>
      </c>
      <c r="NSM6" s="2888" t="s">
        <v>3241</v>
      </c>
      <c r="NSN6" s="2888" t="s">
        <v>3241</v>
      </c>
      <c r="NSO6" s="2888" t="s">
        <v>3241</v>
      </c>
      <c r="NSP6" s="2888" t="s">
        <v>3241</v>
      </c>
      <c r="NSQ6" s="2888" t="s">
        <v>3241</v>
      </c>
      <c r="NSR6" s="2888" t="s">
        <v>3241</v>
      </c>
      <c r="NSS6" s="2888" t="s">
        <v>3241</v>
      </c>
      <c r="NST6" s="2888" t="s">
        <v>3241</v>
      </c>
      <c r="NSU6" s="2888" t="s">
        <v>3241</v>
      </c>
      <c r="NSV6" s="2888" t="s">
        <v>3241</v>
      </c>
      <c r="NSW6" s="2888" t="s">
        <v>3241</v>
      </c>
      <c r="NSX6" s="2888" t="s">
        <v>3241</v>
      </c>
      <c r="NSY6" s="2888" t="s">
        <v>3241</v>
      </c>
      <c r="NSZ6" s="2888" t="s">
        <v>3241</v>
      </c>
      <c r="NTA6" s="2888" t="s">
        <v>3241</v>
      </c>
      <c r="NTB6" s="2888" t="s">
        <v>3241</v>
      </c>
      <c r="NTC6" s="2888" t="s">
        <v>3241</v>
      </c>
      <c r="NTD6" s="2888" t="s">
        <v>3241</v>
      </c>
      <c r="NTE6" s="2888" t="s">
        <v>3241</v>
      </c>
      <c r="NTF6" s="2888" t="s">
        <v>3241</v>
      </c>
      <c r="NTG6" s="2888" t="s">
        <v>3241</v>
      </c>
      <c r="NTH6" s="2888" t="s">
        <v>3241</v>
      </c>
      <c r="NTI6" s="2888" t="s">
        <v>3241</v>
      </c>
      <c r="NTJ6" s="2888" t="s">
        <v>3241</v>
      </c>
      <c r="NTK6" s="2888" t="s">
        <v>3241</v>
      </c>
      <c r="NTL6" s="2888" t="s">
        <v>3241</v>
      </c>
      <c r="NTM6" s="2888" t="s">
        <v>3241</v>
      </c>
      <c r="NTN6" s="2888" t="s">
        <v>3241</v>
      </c>
      <c r="NTO6" s="2888" t="s">
        <v>3241</v>
      </c>
      <c r="NTP6" s="2888" t="s">
        <v>3241</v>
      </c>
      <c r="NTQ6" s="2888" t="s">
        <v>3241</v>
      </c>
      <c r="NTR6" s="2888" t="s">
        <v>3241</v>
      </c>
      <c r="NTS6" s="2888" t="s">
        <v>3241</v>
      </c>
      <c r="NTT6" s="2888" t="s">
        <v>3241</v>
      </c>
      <c r="NTU6" s="2888" t="s">
        <v>3241</v>
      </c>
      <c r="NTV6" s="2888" t="s">
        <v>3241</v>
      </c>
      <c r="NTW6" s="2888" t="s">
        <v>3241</v>
      </c>
      <c r="NTX6" s="2888" t="s">
        <v>3241</v>
      </c>
      <c r="NTY6" s="2888" t="s">
        <v>3241</v>
      </c>
      <c r="NTZ6" s="2888" t="s">
        <v>3241</v>
      </c>
      <c r="NUA6" s="2888" t="s">
        <v>3241</v>
      </c>
      <c r="NUB6" s="2888" t="s">
        <v>3241</v>
      </c>
      <c r="NUC6" s="2888" t="s">
        <v>3241</v>
      </c>
      <c r="NUD6" s="2888" t="s">
        <v>3241</v>
      </c>
      <c r="NUE6" s="2888" t="s">
        <v>3241</v>
      </c>
      <c r="NUF6" s="2888" t="s">
        <v>3241</v>
      </c>
      <c r="NUG6" s="2888" t="s">
        <v>3241</v>
      </c>
      <c r="NUH6" s="2888" t="s">
        <v>3241</v>
      </c>
      <c r="NUI6" s="2888" t="s">
        <v>3241</v>
      </c>
      <c r="NUJ6" s="2888" t="s">
        <v>3241</v>
      </c>
      <c r="NUK6" s="2888" t="s">
        <v>3241</v>
      </c>
      <c r="NUL6" s="2888" t="s">
        <v>3241</v>
      </c>
      <c r="NUM6" s="2888" t="s">
        <v>3241</v>
      </c>
      <c r="NUN6" s="2888" t="s">
        <v>3241</v>
      </c>
      <c r="NUO6" s="2888" t="s">
        <v>3241</v>
      </c>
      <c r="NUP6" s="2888" t="s">
        <v>3241</v>
      </c>
      <c r="NUQ6" s="2888" t="s">
        <v>3241</v>
      </c>
      <c r="NUR6" s="2888" t="s">
        <v>3241</v>
      </c>
      <c r="NUS6" s="2888" t="s">
        <v>3241</v>
      </c>
      <c r="NUT6" s="2888" t="s">
        <v>3241</v>
      </c>
      <c r="NUU6" s="2888" t="s">
        <v>3241</v>
      </c>
      <c r="NUV6" s="2888" t="s">
        <v>3241</v>
      </c>
      <c r="NUW6" s="2888" t="s">
        <v>3241</v>
      </c>
      <c r="NUX6" s="2888" t="s">
        <v>3241</v>
      </c>
      <c r="NUY6" s="2888" t="s">
        <v>3241</v>
      </c>
      <c r="NUZ6" s="2888" t="s">
        <v>3241</v>
      </c>
      <c r="NVA6" s="2888" t="s">
        <v>3241</v>
      </c>
      <c r="NVB6" s="2888" t="s">
        <v>3241</v>
      </c>
      <c r="NVC6" s="2888" t="s">
        <v>3241</v>
      </c>
      <c r="NVD6" s="2888" t="s">
        <v>3241</v>
      </c>
      <c r="NVE6" s="2888" t="s">
        <v>3241</v>
      </c>
      <c r="NVF6" s="2888" t="s">
        <v>3241</v>
      </c>
      <c r="NVG6" s="2888" t="s">
        <v>3241</v>
      </c>
      <c r="NVH6" s="2888" t="s">
        <v>3241</v>
      </c>
      <c r="NVI6" s="2888" t="s">
        <v>3241</v>
      </c>
      <c r="NVJ6" s="2888" t="s">
        <v>3241</v>
      </c>
      <c r="NVK6" s="2888" t="s">
        <v>3241</v>
      </c>
      <c r="NVL6" s="2888" t="s">
        <v>3241</v>
      </c>
      <c r="NVM6" s="2888" t="s">
        <v>3241</v>
      </c>
      <c r="NVN6" s="2888" t="s">
        <v>3241</v>
      </c>
      <c r="NVO6" s="2888" t="s">
        <v>3241</v>
      </c>
      <c r="NVP6" s="2888" t="s">
        <v>3241</v>
      </c>
      <c r="NVQ6" s="2888" t="s">
        <v>3241</v>
      </c>
      <c r="NVR6" s="2888" t="s">
        <v>3241</v>
      </c>
      <c r="NVS6" s="2888" t="s">
        <v>3241</v>
      </c>
      <c r="NVT6" s="2888" t="s">
        <v>3241</v>
      </c>
      <c r="NVU6" s="2888" t="s">
        <v>3241</v>
      </c>
      <c r="NVV6" s="2888" t="s">
        <v>3241</v>
      </c>
      <c r="NVW6" s="2888" t="s">
        <v>3241</v>
      </c>
      <c r="NVX6" s="2888" t="s">
        <v>3241</v>
      </c>
      <c r="NVY6" s="2888" t="s">
        <v>3241</v>
      </c>
      <c r="NVZ6" s="2888" t="s">
        <v>3241</v>
      </c>
      <c r="NWA6" s="2888" t="s">
        <v>3241</v>
      </c>
      <c r="NWB6" s="2888" t="s">
        <v>3241</v>
      </c>
      <c r="NWC6" s="2888" t="s">
        <v>3241</v>
      </c>
      <c r="NWD6" s="2888" t="s">
        <v>3241</v>
      </c>
      <c r="NWE6" s="2888" t="s">
        <v>3241</v>
      </c>
      <c r="NWF6" s="2888" t="s">
        <v>3241</v>
      </c>
      <c r="NWG6" s="2888" t="s">
        <v>3241</v>
      </c>
      <c r="NWH6" s="2888" t="s">
        <v>3241</v>
      </c>
      <c r="NWI6" s="2888" t="s">
        <v>3241</v>
      </c>
      <c r="NWJ6" s="2888" t="s">
        <v>3241</v>
      </c>
      <c r="NWK6" s="2888" t="s">
        <v>3241</v>
      </c>
      <c r="NWL6" s="2888" t="s">
        <v>3241</v>
      </c>
      <c r="NWM6" s="2888" t="s">
        <v>3241</v>
      </c>
      <c r="NWN6" s="2888" t="s">
        <v>3241</v>
      </c>
      <c r="NWO6" s="2888" t="s">
        <v>3241</v>
      </c>
      <c r="NWP6" s="2888" t="s">
        <v>3241</v>
      </c>
      <c r="NWQ6" s="2888" t="s">
        <v>3241</v>
      </c>
      <c r="NWR6" s="2888" t="s">
        <v>3241</v>
      </c>
      <c r="NWS6" s="2888" t="s">
        <v>3241</v>
      </c>
      <c r="NWT6" s="2888" t="s">
        <v>3241</v>
      </c>
      <c r="NWU6" s="2888" t="s">
        <v>3241</v>
      </c>
      <c r="NWV6" s="2888" t="s">
        <v>3241</v>
      </c>
      <c r="NWW6" s="2888" t="s">
        <v>3241</v>
      </c>
      <c r="NWX6" s="2888" t="s">
        <v>3241</v>
      </c>
      <c r="NWY6" s="2888" t="s">
        <v>3241</v>
      </c>
      <c r="NWZ6" s="2888" t="s">
        <v>3241</v>
      </c>
      <c r="NXA6" s="2888" t="s">
        <v>3241</v>
      </c>
      <c r="NXB6" s="2888" t="s">
        <v>3241</v>
      </c>
      <c r="NXC6" s="2888" t="s">
        <v>3241</v>
      </c>
      <c r="NXD6" s="2888" t="s">
        <v>3241</v>
      </c>
      <c r="NXE6" s="2888" t="s">
        <v>3241</v>
      </c>
      <c r="NXF6" s="2888" t="s">
        <v>3241</v>
      </c>
      <c r="NXG6" s="2888" t="s">
        <v>3241</v>
      </c>
      <c r="NXH6" s="2888" t="s">
        <v>3241</v>
      </c>
      <c r="NXI6" s="2888" t="s">
        <v>3241</v>
      </c>
      <c r="NXJ6" s="2888" t="s">
        <v>3241</v>
      </c>
      <c r="NXK6" s="2888" t="s">
        <v>3241</v>
      </c>
      <c r="NXL6" s="2888" t="s">
        <v>3241</v>
      </c>
      <c r="NXM6" s="2888" t="s">
        <v>3241</v>
      </c>
      <c r="NXN6" s="2888" t="s">
        <v>3241</v>
      </c>
      <c r="NXO6" s="2888" t="s">
        <v>3241</v>
      </c>
      <c r="NXP6" s="2888" t="s">
        <v>3241</v>
      </c>
      <c r="NXQ6" s="2888" t="s">
        <v>3241</v>
      </c>
      <c r="NXR6" s="2888" t="s">
        <v>3241</v>
      </c>
      <c r="NXS6" s="2888" t="s">
        <v>3241</v>
      </c>
      <c r="NXT6" s="2888" t="s">
        <v>3241</v>
      </c>
      <c r="NXU6" s="2888" t="s">
        <v>3241</v>
      </c>
      <c r="NXV6" s="2888" t="s">
        <v>3241</v>
      </c>
      <c r="NXW6" s="2888" t="s">
        <v>3241</v>
      </c>
      <c r="NXX6" s="2888" t="s">
        <v>3241</v>
      </c>
      <c r="NXY6" s="2888" t="s">
        <v>3241</v>
      </c>
      <c r="NXZ6" s="2888" t="s">
        <v>3241</v>
      </c>
      <c r="NYA6" s="2888" t="s">
        <v>3241</v>
      </c>
      <c r="NYB6" s="2888" t="s">
        <v>3241</v>
      </c>
      <c r="NYC6" s="2888" t="s">
        <v>3241</v>
      </c>
      <c r="NYD6" s="2888" t="s">
        <v>3241</v>
      </c>
      <c r="NYE6" s="2888" t="s">
        <v>3241</v>
      </c>
      <c r="NYF6" s="2888" t="s">
        <v>3241</v>
      </c>
      <c r="NYG6" s="2888" t="s">
        <v>3241</v>
      </c>
      <c r="NYH6" s="2888" t="s">
        <v>3241</v>
      </c>
      <c r="NYI6" s="2888" t="s">
        <v>3241</v>
      </c>
      <c r="NYJ6" s="2888" t="s">
        <v>3241</v>
      </c>
      <c r="NYK6" s="2888" t="s">
        <v>3241</v>
      </c>
      <c r="NYL6" s="2888" t="s">
        <v>3241</v>
      </c>
      <c r="NYM6" s="2888" t="s">
        <v>3241</v>
      </c>
      <c r="NYN6" s="2888" t="s">
        <v>3241</v>
      </c>
      <c r="NYO6" s="2888" t="s">
        <v>3241</v>
      </c>
      <c r="NYP6" s="2888" t="s">
        <v>3241</v>
      </c>
      <c r="NYQ6" s="2888" t="s">
        <v>3241</v>
      </c>
      <c r="NYR6" s="2888" t="s">
        <v>3241</v>
      </c>
      <c r="NYS6" s="2888" t="s">
        <v>3241</v>
      </c>
      <c r="NYT6" s="2888" t="s">
        <v>3241</v>
      </c>
      <c r="NYU6" s="2888" t="s">
        <v>3241</v>
      </c>
      <c r="NYV6" s="2888" t="s">
        <v>3241</v>
      </c>
      <c r="NYW6" s="2888" t="s">
        <v>3241</v>
      </c>
      <c r="NYX6" s="2888" t="s">
        <v>3241</v>
      </c>
      <c r="NYY6" s="2888" t="s">
        <v>3241</v>
      </c>
      <c r="NYZ6" s="2888" t="s">
        <v>3241</v>
      </c>
      <c r="NZA6" s="2888" t="s">
        <v>3241</v>
      </c>
      <c r="NZB6" s="2888" t="s">
        <v>3241</v>
      </c>
      <c r="NZC6" s="2888" t="s">
        <v>3241</v>
      </c>
      <c r="NZD6" s="2888" t="s">
        <v>3241</v>
      </c>
      <c r="NZE6" s="2888" t="s">
        <v>3241</v>
      </c>
      <c r="NZF6" s="2888" t="s">
        <v>3241</v>
      </c>
      <c r="NZG6" s="2888" t="s">
        <v>3241</v>
      </c>
      <c r="NZH6" s="2888" t="s">
        <v>3241</v>
      </c>
      <c r="NZI6" s="2888" t="s">
        <v>3241</v>
      </c>
      <c r="NZJ6" s="2888" t="s">
        <v>3241</v>
      </c>
      <c r="NZK6" s="2888" t="s">
        <v>3241</v>
      </c>
      <c r="NZL6" s="2888" t="s">
        <v>3241</v>
      </c>
      <c r="NZM6" s="2888" t="s">
        <v>3241</v>
      </c>
      <c r="NZN6" s="2888" t="s">
        <v>3241</v>
      </c>
      <c r="NZO6" s="2888" t="s">
        <v>3241</v>
      </c>
      <c r="NZP6" s="2888" t="s">
        <v>3241</v>
      </c>
      <c r="NZQ6" s="2888" t="s">
        <v>3241</v>
      </c>
      <c r="NZR6" s="2888" t="s">
        <v>3241</v>
      </c>
      <c r="NZS6" s="2888" t="s">
        <v>3241</v>
      </c>
      <c r="NZT6" s="2888" t="s">
        <v>3241</v>
      </c>
      <c r="NZU6" s="2888" t="s">
        <v>3241</v>
      </c>
      <c r="NZV6" s="2888" t="s">
        <v>3241</v>
      </c>
      <c r="NZW6" s="2888" t="s">
        <v>3241</v>
      </c>
      <c r="NZX6" s="2888" t="s">
        <v>3241</v>
      </c>
      <c r="NZY6" s="2888" t="s">
        <v>3241</v>
      </c>
      <c r="NZZ6" s="2888" t="s">
        <v>3241</v>
      </c>
      <c r="OAA6" s="2888" t="s">
        <v>3241</v>
      </c>
      <c r="OAB6" s="2888" t="s">
        <v>3241</v>
      </c>
      <c r="OAC6" s="2888" t="s">
        <v>3241</v>
      </c>
      <c r="OAD6" s="2888" t="s">
        <v>3241</v>
      </c>
      <c r="OAE6" s="2888" t="s">
        <v>3241</v>
      </c>
      <c r="OAF6" s="2888" t="s">
        <v>3241</v>
      </c>
      <c r="OAG6" s="2888" t="s">
        <v>3241</v>
      </c>
      <c r="OAH6" s="2888" t="s">
        <v>3241</v>
      </c>
      <c r="OAI6" s="2888" t="s">
        <v>3241</v>
      </c>
      <c r="OAJ6" s="2888" t="s">
        <v>3241</v>
      </c>
      <c r="OAK6" s="2888" t="s">
        <v>3241</v>
      </c>
      <c r="OAL6" s="2888" t="s">
        <v>3241</v>
      </c>
      <c r="OAM6" s="2888" t="s">
        <v>3241</v>
      </c>
      <c r="OAN6" s="2888" t="s">
        <v>3241</v>
      </c>
      <c r="OAO6" s="2888" t="s">
        <v>3241</v>
      </c>
      <c r="OAP6" s="2888" t="s">
        <v>3241</v>
      </c>
      <c r="OAQ6" s="2888" t="s">
        <v>3241</v>
      </c>
      <c r="OAR6" s="2888" t="s">
        <v>3241</v>
      </c>
      <c r="OAS6" s="2888" t="s">
        <v>3241</v>
      </c>
      <c r="OAT6" s="2888" t="s">
        <v>3241</v>
      </c>
      <c r="OAU6" s="2888" t="s">
        <v>3241</v>
      </c>
      <c r="OAV6" s="2888" t="s">
        <v>3241</v>
      </c>
      <c r="OAW6" s="2888" t="s">
        <v>3241</v>
      </c>
      <c r="OAX6" s="2888" t="s">
        <v>3241</v>
      </c>
      <c r="OAY6" s="2888" t="s">
        <v>3241</v>
      </c>
      <c r="OAZ6" s="2888" t="s">
        <v>3241</v>
      </c>
      <c r="OBA6" s="2888" t="s">
        <v>3241</v>
      </c>
      <c r="OBB6" s="2888" t="s">
        <v>3241</v>
      </c>
      <c r="OBC6" s="2888" t="s">
        <v>3241</v>
      </c>
      <c r="OBD6" s="2888" t="s">
        <v>3241</v>
      </c>
      <c r="OBE6" s="2888" t="s">
        <v>3241</v>
      </c>
      <c r="OBF6" s="2888" t="s">
        <v>3241</v>
      </c>
      <c r="OBG6" s="2888" t="s">
        <v>3241</v>
      </c>
      <c r="OBH6" s="2888" t="s">
        <v>3241</v>
      </c>
      <c r="OBI6" s="2888" t="s">
        <v>3241</v>
      </c>
      <c r="OBJ6" s="2888" t="s">
        <v>3241</v>
      </c>
      <c r="OBK6" s="2888" t="s">
        <v>3241</v>
      </c>
      <c r="OBL6" s="2888" t="s">
        <v>3241</v>
      </c>
      <c r="OBM6" s="2888" t="s">
        <v>3241</v>
      </c>
      <c r="OBN6" s="2888" t="s">
        <v>3241</v>
      </c>
      <c r="OBO6" s="2888" t="s">
        <v>3241</v>
      </c>
      <c r="OBP6" s="2888" t="s">
        <v>3241</v>
      </c>
      <c r="OBQ6" s="2888" t="s">
        <v>3241</v>
      </c>
      <c r="OBR6" s="2888" t="s">
        <v>3241</v>
      </c>
      <c r="OBS6" s="2888" t="s">
        <v>3241</v>
      </c>
      <c r="OBT6" s="2888" t="s">
        <v>3241</v>
      </c>
      <c r="OBU6" s="2888" t="s">
        <v>3241</v>
      </c>
      <c r="OBV6" s="2888" t="s">
        <v>3241</v>
      </c>
      <c r="OBW6" s="2888" t="s">
        <v>3241</v>
      </c>
      <c r="OBX6" s="2888" t="s">
        <v>3241</v>
      </c>
      <c r="OBY6" s="2888" t="s">
        <v>3241</v>
      </c>
      <c r="OBZ6" s="2888" t="s">
        <v>3241</v>
      </c>
      <c r="OCA6" s="2888" t="s">
        <v>3241</v>
      </c>
      <c r="OCB6" s="2888" t="s">
        <v>3241</v>
      </c>
      <c r="OCC6" s="2888" t="s">
        <v>3241</v>
      </c>
      <c r="OCD6" s="2888" t="s">
        <v>3241</v>
      </c>
      <c r="OCE6" s="2888" t="s">
        <v>3241</v>
      </c>
      <c r="OCF6" s="2888" t="s">
        <v>3241</v>
      </c>
      <c r="OCG6" s="2888" t="s">
        <v>3241</v>
      </c>
      <c r="OCH6" s="2888" t="s">
        <v>3241</v>
      </c>
      <c r="OCI6" s="2888" t="s">
        <v>3241</v>
      </c>
      <c r="OCJ6" s="2888" t="s">
        <v>3241</v>
      </c>
      <c r="OCK6" s="2888" t="s">
        <v>3241</v>
      </c>
      <c r="OCL6" s="2888" t="s">
        <v>3241</v>
      </c>
      <c r="OCM6" s="2888" t="s">
        <v>3241</v>
      </c>
      <c r="OCN6" s="2888" t="s">
        <v>3241</v>
      </c>
      <c r="OCO6" s="2888" t="s">
        <v>3241</v>
      </c>
      <c r="OCP6" s="2888" t="s">
        <v>3241</v>
      </c>
      <c r="OCQ6" s="2888" t="s">
        <v>3241</v>
      </c>
      <c r="OCR6" s="2888" t="s">
        <v>3241</v>
      </c>
      <c r="OCS6" s="2888" t="s">
        <v>3241</v>
      </c>
      <c r="OCT6" s="2888" t="s">
        <v>3241</v>
      </c>
      <c r="OCU6" s="2888" t="s">
        <v>3241</v>
      </c>
      <c r="OCV6" s="2888" t="s">
        <v>3241</v>
      </c>
      <c r="OCW6" s="2888" t="s">
        <v>3241</v>
      </c>
      <c r="OCX6" s="2888" t="s">
        <v>3241</v>
      </c>
      <c r="OCY6" s="2888" t="s">
        <v>3241</v>
      </c>
      <c r="OCZ6" s="2888" t="s">
        <v>3241</v>
      </c>
      <c r="ODA6" s="2888" t="s">
        <v>3241</v>
      </c>
      <c r="ODB6" s="2888" t="s">
        <v>3241</v>
      </c>
      <c r="ODC6" s="2888" t="s">
        <v>3241</v>
      </c>
      <c r="ODD6" s="2888" t="s">
        <v>3241</v>
      </c>
      <c r="ODE6" s="2888" t="s">
        <v>3241</v>
      </c>
      <c r="ODF6" s="2888" t="s">
        <v>3241</v>
      </c>
      <c r="ODG6" s="2888" t="s">
        <v>3241</v>
      </c>
      <c r="ODH6" s="2888" t="s">
        <v>3241</v>
      </c>
      <c r="ODI6" s="2888" t="s">
        <v>3241</v>
      </c>
      <c r="ODJ6" s="2888" t="s">
        <v>3241</v>
      </c>
      <c r="ODK6" s="2888" t="s">
        <v>3241</v>
      </c>
      <c r="ODL6" s="2888" t="s">
        <v>3241</v>
      </c>
      <c r="ODM6" s="2888" t="s">
        <v>3241</v>
      </c>
      <c r="ODN6" s="2888" t="s">
        <v>3241</v>
      </c>
      <c r="ODO6" s="2888" t="s">
        <v>3241</v>
      </c>
      <c r="ODP6" s="2888" t="s">
        <v>3241</v>
      </c>
      <c r="ODQ6" s="2888" t="s">
        <v>3241</v>
      </c>
      <c r="ODR6" s="2888" t="s">
        <v>3241</v>
      </c>
      <c r="ODS6" s="2888" t="s">
        <v>3241</v>
      </c>
      <c r="ODT6" s="2888" t="s">
        <v>3241</v>
      </c>
      <c r="ODU6" s="2888" t="s">
        <v>3241</v>
      </c>
      <c r="ODV6" s="2888" t="s">
        <v>3241</v>
      </c>
      <c r="ODW6" s="2888" t="s">
        <v>3241</v>
      </c>
      <c r="ODX6" s="2888" t="s">
        <v>3241</v>
      </c>
      <c r="ODY6" s="2888" t="s">
        <v>3241</v>
      </c>
      <c r="ODZ6" s="2888" t="s">
        <v>3241</v>
      </c>
      <c r="OEA6" s="2888" t="s">
        <v>3241</v>
      </c>
      <c r="OEB6" s="2888" t="s">
        <v>3241</v>
      </c>
      <c r="OEC6" s="2888" t="s">
        <v>3241</v>
      </c>
      <c r="OED6" s="2888" t="s">
        <v>3241</v>
      </c>
      <c r="OEE6" s="2888" t="s">
        <v>3241</v>
      </c>
      <c r="OEF6" s="2888" t="s">
        <v>3241</v>
      </c>
      <c r="OEG6" s="2888" t="s">
        <v>3241</v>
      </c>
      <c r="OEH6" s="2888" t="s">
        <v>3241</v>
      </c>
      <c r="OEI6" s="2888" t="s">
        <v>3241</v>
      </c>
      <c r="OEJ6" s="2888" t="s">
        <v>3241</v>
      </c>
      <c r="OEK6" s="2888" t="s">
        <v>3241</v>
      </c>
      <c r="OEL6" s="2888" t="s">
        <v>3241</v>
      </c>
      <c r="OEM6" s="2888" t="s">
        <v>3241</v>
      </c>
      <c r="OEN6" s="2888" t="s">
        <v>3241</v>
      </c>
      <c r="OEO6" s="2888" t="s">
        <v>3241</v>
      </c>
      <c r="OEP6" s="2888" t="s">
        <v>3241</v>
      </c>
      <c r="OEQ6" s="2888" t="s">
        <v>3241</v>
      </c>
      <c r="OER6" s="2888" t="s">
        <v>3241</v>
      </c>
      <c r="OES6" s="2888" t="s">
        <v>3241</v>
      </c>
      <c r="OET6" s="2888" t="s">
        <v>3241</v>
      </c>
      <c r="OEU6" s="2888" t="s">
        <v>3241</v>
      </c>
      <c r="OEV6" s="2888" t="s">
        <v>3241</v>
      </c>
      <c r="OEW6" s="2888" t="s">
        <v>3241</v>
      </c>
      <c r="OEX6" s="2888" t="s">
        <v>3241</v>
      </c>
      <c r="OEY6" s="2888" t="s">
        <v>3241</v>
      </c>
      <c r="OEZ6" s="2888" t="s">
        <v>3241</v>
      </c>
      <c r="OFA6" s="2888" t="s">
        <v>3241</v>
      </c>
      <c r="OFB6" s="2888" t="s">
        <v>3241</v>
      </c>
      <c r="OFC6" s="2888" t="s">
        <v>3241</v>
      </c>
      <c r="OFD6" s="2888" t="s">
        <v>3241</v>
      </c>
      <c r="OFE6" s="2888" t="s">
        <v>3241</v>
      </c>
      <c r="OFF6" s="2888" t="s">
        <v>3241</v>
      </c>
      <c r="OFG6" s="2888" t="s">
        <v>3241</v>
      </c>
      <c r="OFH6" s="2888" t="s">
        <v>3241</v>
      </c>
      <c r="OFI6" s="2888" t="s">
        <v>3241</v>
      </c>
      <c r="OFJ6" s="2888" t="s">
        <v>3241</v>
      </c>
      <c r="OFK6" s="2888" t="s">
        <v>3241</v>
      </c>
      <c r="OFL6" s="2888" t="s">
        <v>3241</v>
      </c>
      <c r="OFM6" s="2888" t="s">
        <v>3241</v>
      </c>
      <c r="OFN6" s="2888" t="s">
        <v>3241</v>
      </c>
      <c r="OFO6" s="2888" t="s">
        <v>3241</v>
      </c>
      <c r="OFP6" s="2888" t="s">
        <v>3241</v>
      </c>
      <c r="OFQ6" s="2888" t="s">
        <v>3241</v>
      </c>
      <c r="OFR6" s="2888" t="s">
        <v>3241</v>
      </c>
      <c r="OFS6" s="2888" t="s">
        <v>3241</v>
      </c>
      <c r="OFT6" s="2888" t="s">
        <v>3241</v>
      </c>
      <c r="OFU6" s="2888" t="s">
        <v>3241</v>
      </c>
      <c r="OFV6" s="2888" t="s">
        <v>3241</v>
      </c>
      <c r="OFW6" s="2888" t="s">
        <v>3241</v>
      </c>
      <c r="OFX6" s="2888" t="s">
        <v>3241</v>
      </c>
      <c r="OFY6" s="2888" t="s">
        <v>3241</v>
      </c>
      <c r="OFZ6" s="2888" t="s">
        <v>3241</v>
      </c>
      <c r="OGA6" s="2888" t="s">
        <v>3241</v>
      </c>
      <c r="OGB6" s="2888" t="s">
        <v>3241</v>
      </c>
      <c r="OGC6" s="2888" t="s">
        <v>3241</v>
      </c>
      <c r="OGD6" s="2888" t="s">
        <v>3241</v>
      </c>
      <c r="OGE6" s="2888" t="s">
        <v>3241</v>
      </c>
      <c r="OGF6" s="2888" t="s">
        <v>3241</v>
      </c>
      <c r="OGG6" s="2888" t="s">
        <v>3241</v>
      </c>
      <c r="OGH6" s="2888" t="s">
        <v>3241</v>
      </c>
      <c r="OGI6" s="2888" t="s">
        <v>3241</v>
      </c>
      <c r="OGJ6" s="2888" t="s">
        <v>3241</v>
      </c>
      <c r="OGK6" s="2888" t="s">
        <v>3241</v>
      </c>
      <c r="OGL6" s="2888" t="s">
        <v>3241</v>
      </c>
      <c r="OGM6" s="2888" t="s">
        <v>3241</v>
      </c>
      <c r="OGN6" s="2888" t="s">
        <v>3241</v>
      </c>
      <c r="OGO6" s="2888" t="s">
        <v>3241</v>
      </c>
      <c r="OGP6" s="2888" t="s">
        <v>3241</v>
      </c>
      <c r="OGQ6" s="2888" t="s">
        <v>3241</v>
      </c>
      <c r="OGR6" s="2888" t="s">
        <v>3241</v>
      </c>
      <c r="OGS6" s="2888" t="s">
        <v>3241</v>
      </c>
      <c r="OGT6" s="2888" t="s">
        <v>3241</v>
      </c>
      <c r="OGU6" s="2888" t="s">
        <v>3241</v>
      </c>
      <c r="OGV6" s="2888" t="s">
        <v>3241</v>
      </c>
      <c r="OGW6" s="2888" t="s">
        <v>3241</v>
      </c>
      <c r="OGX6" s="2888" t="s">
        <v>3241</v>
      </c>
      <c r="OGY6" s="2888" t="s">
        <v>3241</v>
      </c>
      <c r="OGZ6" s="2888" t="s">
        <v>3241</v>
      </c>
      <c r="OHA6" s="2888" t="s">
        <v>3241</v>
      </c>
      <c r="OHB6" s="2888" t="s">
        <v>3241</v>
      </c>
      <c r="OHC6" s="2888" t="s">
        <v>3241</v>
      </c>
      <c r="OHD6" s="2888" t="s">
        <v>3241</v>
      </c>
      <c r="OHE6" s="2888" t="s">
        <v>3241</v>
      </c>
      <c r="OHF6" s="2888" t="s">
        <v>3241</v>
      </c>
      <c r="OHG6" s="2888" t="s">
        <v>3241</v>
      </c>
      <c r="OHH6" s="2888" t="s">
        <v>3241</v>
      </c>
      <c r="OHI6" s="2888" t="s">
        <v>3241</v>
      </c>
      <c r="OHJ6" s="2888" t="s">
        <v>3241</v>
      </c>
      <c r="OHK6" s="2888" t="s">
        <v>3241</v>
      </c>
      <c r="OHL6" s="2888" t="s">
        <v>3241</v>
      </c>
      <c r="OHM6" s="2888" t="s">
        <v>3241</v>
      </c>
      <c r="OHN6" s="2888" t="s">
        <v>3241</v>
      </c>
      <c r="OHO6" s="2888" t="s">
        <v>3241</v>
      </c>
      <c r="OHP6" s="2888" t="s">
        <v>3241</v>
      </c>
      <c r="OHQ6" s="2888" t="s">
        <v>3241</v>
      </c>
      <c r="OHR6" s="2888" t="s">
        <v>3241</v>
      </c>
      <c r="OHS6" s="2888" t="s">
        <v>3241</v>
      </c>
      <c r="OHT6" s="2888" t="s">
        <v>3241</v>
      </c>
      <c r="OHU6" s="2888" t="s">
        <v>3241</v>
      </c>
      <c r="OHV6" s="2888" t="s">
        <v>3241</v>
      </c>
      <c r="OHW6" s="2888" t="s">
        <v>3241</v>
      </c>
      <c r="OHX6" s="2888" t="s">
        <v>3241</v>
      </c>
      <c r="OHY6" s="2888" t="s">
        <v>3241</v>
      </c>
      <c r="OHZ6" s="2888" t="s">
        <v>3241</v>
      </c>
      <c r="OIA6" s="2888" t="s">
        <v>3241</v>
      </c>
      <c r="OIB6" s="2888" t="s">
        <v>3241</v>
      </c>
      <c r="OIC6" s="2888" t="s">
        <v>3241</v>
      </c>
      <c r="OID6" s="2888" t="s">
        <v>3241</v>
      </c>
      <c r="OIE6" s="2888" t="s">
        <v>3241</v>
      </c>
      <c r="OIF6" s="2888" t="s">
        <v>3241</v>
      </c>
      <c r="OIG6" s="2888" t="s">
        <v>3241</v>
      </c>
      <c r="OIH6" s="2888" t="s">
        <v>3241</v>
      </c>
      <c r="OII6" s="2888" t="s">
        <v>3241</v>
      </c>
      <c r="OIJ6" s="2888" t="s">
        <v>3241</v>
      </c>
      <c r="OIK6" s="2888" t="s">
        <v>3241</v>
      </c>
      <c r="OIL6" s="2888" t="s">
        <v>3241</v>
      </c>
      <c r="OIM6" s="2888" t="s">
        <v>3241</v>
      </c>
      <c r="OIN6" s="2888" t="s">
        <v>3241</v>
      </c>
      <c r="OIO6" s="2888" t="s">
        <v>3241</v>
      </c>
      <c r="OIP6" s="2888" t="s">
        <v>3241</v>
      </c>
      <c r="OIQ6" s="2888" t="s">
        <v>3241</v>
      </c>
      <c r="OIR6" s="2888" t="s">
        <v>3241</v>
      </c>
      <c r="OIS6" s="2888" t="s">
        <v>3241</v>
      </c>
      <c r="OIT6" s="2888" t="s">
        <v>3241</v>
      </c>
      <c r="OIU6" s="2888" t="s">
        <v>3241</v>
      </c>
      <c r="OIV6" s="2888" t="s">
        <v>3241</v>
      </c>
      <c r="OIW6" s="2888" t="s">
        <v>3241</v>
      </c>
      <c r="OIX6" s="2888" t="s">
        <v>3241</v>
      </c>
      <c r="OIY6" s="2888" t="s">
        <v>3241</v>
      </c>
      <c r="OIZ6" s="2888" t="s">
        <v>3241</v>
      </c>
      <c r="OJA6" s="2888" t="s">
        <v>3241</v>
      </c>
      <c r="OJB6" s="2888" t="s">
        <v>3241</v>
      </c>
      <c r="OJC6" s="2888" t="s">
        <v>3241</v>
      </c>
      <c r="OJD6" s="2888" t="s">
        <v>3241</v>
      </c>
      <c r="OJE6" s="2888" t="s">
        <v>3241</v>
      </c>
      <c r="OJF6" s="2888" t="s">
        <v>3241</v>
      </c>
      <c r="OJG6" s="2888" t="s">
        <v>3241</v>
      </c>
      <c r="OJH6" s="2888" t="s">
        <v>3241</v>
      </c>
      <c r="OJI6" s="2888" t="s">
        <v>3241</v>
      </c>
      <c r="OJJ6" s="2888" t="s">
        <v>3241</v>
      </c>
      <c r="OJK6" s="2888" t="s">
        <v>3241</v>
      </c>
      <c r="OJL6" s="2888" t="s">
        <v>3241</v>
      </c>
      <c r="OJM6" s="2888" t="s">
        <v>3241</v>
      </c>
      <c r="OJN6" s="2888" t="s">
        <v>3241</v>
      </c>
      <c r="OJO6" s="2888" t="s">
        <v>3241</v>
      </c>
      <c r="OJP6" s="2888" t="s">
        <v>3241</v>
      </c>
      <c r="OJQ6" s="2888" t="s">
        <v>3241</v>
      </c>
      <c r="OJR6" s="2888" t="s">
        <v>3241</v>
      </c>
      <c r="OJS6" s="2888" t="s">
        <v>3241</v>
      </c>
      <c r="OJT6" s="2888" t="s">
        <v>3241</v>
      </c>
      <c r="OJU6" s="2888" t="s">
        <v>3241</v>
      </c>
      <c r="OJV6" s="2888" t="s">
        <v>3241</v>
      </c>
      <c r="OJW6" s="2888" t="s">
        <v>3241</v>
      </c>
      <c r="OJX6" s="2888" t="s">
        <v>3241</v>
      </c>
      <c r="OJY6" s="2888" t="s">
        <v>3241</v>
      </c>
      <c r="OJZ6" s="2888" t="s">
        <v>3241</v>
      </c>
      <c r="OKA6" s="2888" t="s">
        <v>3241</v>
      </c>
      <c r="OKB6" s="2888" t="s">
        <v>3241</v>
      </c>
      <c r="OKC6" s="2888" t="s">
        <v>3241</v>
      </c>
      <c r="OKD6" s="2888" t="s">
        <v>3241</v>
      </c>
      <c r="OKE6" s="2888" t="s">
        <v>3241</v>
      </c>
      <c r="OKF6" s="2888" t="s">
        <v>3241</v>
      </c>
      <c r="OKG6" s="2888" t="s">
        <v>3241</v>
      </c>
      <c r="OKH6" s="2888" t="s">
        <v>3241</v>
      </c>
      <c r="OKI6" s="2888" t="s">
        <v>3241</v>
      </c>
      <c r="OKJ6" s="2888" t="s">
        <v>3241</v>
      </c>
      <c r="OKK6" s="2888" t="s">
        <v>3241</v>
      </c>
      <c r="OKL6" s="2888" t="s">
        <v>3241</v>
      </c>
      <c r="OKM6" s="2888" t="s">
        <v>3241</v>
      </c>
      <c r="OKN6" s="2888" t="s">
        <v>3241</v>
      </c>
      <c r="OKO6" s="2888" t="s">
        <v>3241</v>
      </c>
      <c r="OKP6" s="2888" t="s">
        <v>3241</v>
      </c>
      <c r="OKQ6" s="2888" t="s">
        <v>3241</v>
      </c>
      <c r="OKR6" s="2888" t="s">
        <v>3241</v>
      </c>
      <c r="OKS6" s="2888" t="s">
        <v>3241</v>
      </c>
      <c r="OKT6" s="2888" t="s">
        <v>3241</v>
      </c>
      <c r="OKU6" s="2888" t="s">
        <v>3241</v>
      </c>
      <c r="OKV6" s="2888" t="s">
        <v>3241</v>
      </c>
      <c r="OKW6" s="2888" t="s">
        <v>3241</v>
      </c>
      <c r="OKX6" s="2888" t="s">
        <v>3241</v>
      </c>
      <c r="OKY6" s="2888" t="s">
        <v>3241</v>
      </c>
      <c r="OKZ6" s="2888" t="s">
        <v>3241</v>
      </c>
      <c r="OLA6" s="2888" t="s">
        <v>3241</v>
      </c>
      <c r="OLB6" s="2888" t="s">
        <v>3241</v>
      </c>
      <c r="OLC6" s="2888" t="s">
        <v>3241</v>
      </c>
      <c r="OLD6" s="2888" t="s">
        <v>3241</v>
      </c>
      <c r="OLE6" s="2888" t="s">
        <v>3241</v>
      </c>
      <c r="OLF6" s="2888" t="s">
        <v>3241</v>
      </c>
      <c r="OLG6" s="2888" t="s">
        <v>3241</v>
      </c>
      <c r="OLH6" s="2888" t="s">
        <v>3241</v>
      </c>
      <c r="OLI6" s="2888" t="s">
        <v>3241</v>
      </c>
      <c r="OLJ6" s="2888" t="s">
        <v>3241</v>
      </c>
      <c r="OLK6" s="2888" t="s">
        <v>3241</v>
      </c>
      <c r="OLL6" s="2888" t="s">
        <v>3241</v>
      </c>
      <c r="OLM6" s="2888" t="s">
        <v>3241</v>
      </c>
      <c r="OLN6" s="2888" t="s">
        <v>3241</v>
      </c>
      <c r="OLO6" s="2888" t="s">
        <v>3241</v>
      </c>
      <c r="OLP6" s="2888" t="s">
        <v>3241</v>
      </c>
      <c r="OLQ6" s="2888" t="s">
        <v>3241</v>
      </c>
      <c r="OLR6" s="2888" t="s">
        <v>3241</v>
      </c>
      <c r="OLS6" s="2888" t="s">
        <v>3241</v>
      </c>
      <c r="OLT6" s="2888" t="s">
        <v>3241</v>
      </c>
      <c r="OLU6" s="2888" t="s">
        <v>3241</v>
      </c>
      <c r="OLV6" s="2888" t="s">
        <v>3241</v>
      </c>
      <c r="OLW6" s="2888" t="s">
        <v>3241</v>
      </c>
      <c r="OLX6" s="2888" t="s">
        <v>3241</v>
      </c>
      <c r="OLY6" s="2888" t="s">
        <v>3241</v>
      </c>
      <c r="OLZ6" s="2888" t="s">
        <v>3241</v>
      </c>
      <c r="OMA6" s="2888" t="s">
        <v>3241</v>
      </c>
      <c r="OMB6" s="2888" t="s">
        <v>3241</v>
      </c>
      <c r="OMC6" s="2888" t="s">
        <v>3241</v>
      </c>
      <c r="OMD6" s="2888" t="s">
        <v>3241</v>
      </c>
      <c r="OME6" s="2888" t="s">
        <v>3241</v>
      </c>
      <c r="OMF6" s="2888" t="s">
        <v>3241</v>
      </c>
      <c r="OMG6" s="2888" t="s">
        <v>3241</v>
      </c>
      <c r="OMH6" s="2888" t="s">
        <v>3241</v>
      </c>
      <c r="OMI6" s="2888" t="s">
        <v>3241</v>
      </c>
      <c r="OMJ6" s="2888" t="s">
        <v>3241</v>
      </c>
      <c r="OMK6" s="2888" t="s">
        <v>3241</v>
      </c>
      <c r="OML6" s="2888" t="s">
        <v>3241</v>
      </c>
      <c r="OMM6" s="2888" t="s">
        <v>3241</v>
      </c>
      <c r="OMN6" s="2888" t="s">
        <v>3241</v>
      </c>
      <c r="OMO6" s="2888" t="s">
        <v>3241</v>
      </c>
      <c r="OMP6" s="2888" t="s">
        <v>3241</v>
      </c>
      <c r="OMQ6" s="2888" t="s">
        <v>3241</v>
      </c>
      <c r="OMR6" s="2888" t="s">
        <v>3241</v>
      </c>
      <c r="OMS6" s="2888" t="s">
        <v>3241</v>
      </c>
      <c r="OMT6" s="2888" t="s">
        <v>3241</v>
      </c>
      <c r="OMU6" s="2888" t="s">
        <v>3241</v>
      </c>
      <c r="OMV6" s="2888" t="s">
        <v>3241</v>
      </c>
      <c r="OMW6" s="2888" t="s">
        <v>3241</v>
      </c>
      <c r="OMX6" s="2888" t="s">
        <v>3241</v>
      </c>
      <c r="OMY6" s="2888" t="s">
        <v>3241</v>
      </c>
      <c r="OMZ6" s="2888" t="s">
        <v>3241</v>
      </c>
      <c r="ONA6" s="2888" t="s">
        <v>3241</v>
      </c>
      <c r="ONB6" s="2888" t="s">
        <v>3241</v>
      </c>
      <c r="ONC6" s="2888" t="s">
        <v>3241</v>
      </c>
      <c r="OND6" s="2888" t="s">
        <v>3241</v>
      </c>
      <c r="ONE6" s="2888" t="s">
        <v>3241</v>
      </c>
      <c r="ONF6" s="2888" t="s">
        <v>3241</v>
      </c>
      <c r="ONG6" s="2888" t="s">
        <v>3241</v>
      </c>
      <c r="ONH6" s="2888" t="s">
        <v>3241</v>
      </c>
      <c r="ONI6" s="2888" t="s">
        <v>3241</v>
      </c>
      <c r="ONJ6" s="2888" t="s">
        <v>3241</v>
      </c>
      <c r="ONK6" s="2888" t="s">
        <v>3241</v>
      </c>
      <c r="ONL6" s="2888" t="s">
        <v>3241</v>
      </c>
      <c r="ONM6" s="2888" t="s">
        <v>3241</v>
      </c>
      <c r="ONN6" s="2888" t="s">
        <v>3241</v>
      </c>
      <c r="ONO6" s="2888" t="s">
        <v>3241</v>
      </c>
      <c r="ONP6" s="2888" t="s">
        <v>3241</v>
      </c>
      <c r="ONQ6" s="2888" t="s">
        <v>3241</v>
      </c>
      <c r="ONR6" s="2888" t="s">
        <v>3241</v>
      </c>
      <c r="ONS6" s="2888" t="s">
        <v>3241</v>
      </c>
      <c r="ONT6" s="2888" t="s">
        <v>3241</v>
      </c>
      <c r="ONU6" s="2888" t="s">
        <v>3241</v>
      </c>
      <c r="ONV6" s="2888" t="s">
        <v>3241</v>
      </c>
      <c r="ONW6" s="2888" t="s">
        <v>3241</v>
      </c>
      <c r="ONX6" s="2888" t="s">
        <v>3241</v>
      </c>
      <c r="ONY6" s="2888" t="s">
        <v>3241</v>
      </c>
      <c r="ONZ6" s="2888" t="s">
        <v>3241</v>
      </c>
      <c r="OOA6" s="2888" t="s">
        <v>3241</v>
      </c>
      <c r="OOB6" s="2888" t="s">
        <v>3241</v>
      </c>
      <c r="OOC6" s="2888" t="s">
        <v>3241</v>
      </c>
      <c r="OOD6" s="2888" t="s">
        <v>3241</v>
      </c>
      <c r="OOE6" s="2888" t="s">
        <v>3241</v>
      </c>
      <c r="OOF6" s="2888" t="s">
        <v>3241</v>
      </c>
      <c r="OOG6" s="2888" t="s">
        <v>3241</v>
      </c>
      <c r="OOH6" s="2888" t="s">
        <v>3241</v>
      </c>
      <c r="OOI6" s="2888" t="s">
        <v>3241</v>
      </c>
      <c r="OOJ6" s="2888" t="s">
        <v>3241</v>
      </c>
      <c r="OOK6" s="2888" t="s">
        <v>3241</v>
      </c>
      <c r="OOL6" s="2888" t="s">
        <v>3241</v>
      </c>
      <c r="OOM6" s="2888" t="s">
        <v>3241</v>
      </c>
      <c r="OON6" s="2888" t="s">
        <v>3241</v>
      </c>
      <c r="OOO6" s="2888" t="s">
        <v>3241</v>
      </c>
      <c r="OOP6" s="2888" t="s">
        <v>3241</v>
      </c>
      <c r="OOQ6" s="2888" t="s">
        <v>3241</v>
      </c>
      <c r="OOR6" s="2888" t="s">
        <v>3241</v>
      </c>
      <c r="OOS6" s="2888" t="s">
        <v>3241</v>
      </c>
      <c r="OOT6" s="2888" t="s">
        <v>3241</v>
      </c>
      <c r="OOU6" s="2888" t="s">
        <v>3241</v>
      </c>
      <c r="OOV6" s="2888" t="s">
        <v>3241</v>
      </c>
      <c r="OOW6" s="2888" t="s">
        <v>3241</v>
      </c>
      <c r="OOX6" s="2888" t="s">
        <v>3241</v>
      </c>
      <c r="OOY6" s="2888" t="s">
        <v>3241</v>
      </c>
      <c r="OOZ6" s="2888" t="s">
        <v>3241</v>
      </c>
      <c r="OPA6" s="2888" t="s">
        <v>3241</v>
      </c>
      <c r="OPB6" s="2888" t="s">
        <v>3241</v>
      </c>
      <c r="OPC6" s="2888" t="s">
        <v>3241</v>
      </c>
      <c r="OPD6" s="2888" t="s">
        <v>3241</v>
      </c>
      <c r="OPE6" s="2888" t="s">
        <v>3241</v>
      </c>
      <c r="OPF6" s="2888" t="s">
        <v>3241</v>
      </c>
      <c r="OPG6" s="2888" t="s">
        <v>3241</v>
      </c>
      <c r="OPH6" s="2888" t="s">
        <v>3241</v>
      </c>
      <c r="OPI6" s="2888" t="s">
        <v>3241</v>
      </c>
      <c r="OPJ6" s="2888" t="s">
        <v>3241</v>
      </c>
      <c r="OPK6" s="2888" t="s">
        <v>3241</v>
      </c>
      <c r="OPL6" s="2888" t="s">
        <v>3241</v>
      </c>
      <c r="OPM6" s="2888" t="s">
        <v>3241</v>
      </c>
      <c r="OPN6" s="2888" t="s">
        <v>3241</v>
      </c>
      <c r="OPO6" s="2888" t="s">
        <v>3241</v>
      </c>
      <c r="OPP6" s="2888" t="s">
        <v>3241</v>
      </c>
      <c r="OPQ6" s="2888" t="s">
        <v>3241</v>
      </c>
      <c r="OPR6" s="2888" t="s">
        <v>3241</v>
      </c>
      <c r="OPS6" s="2888" t="s">
        <v>3241</v>
      </c>
      <c r="OPT6" s="2888" t="s">
        <v>3241</v>
      </c>
      <c r="OPU6" s="2888" t="s">
        <v>3241</v>
      </c>
      <c r="OPV6" s="2888" t="s">
        <v>3241</v>
      </c>
      <c r="OPW6" s="2888" t="s">
        <v>3241</v>
      </c>
      <c r="OPX6" s="2888" t="s">
        <v>3241</v>
      </c>
      <c r="OPY6" s="2888" t="s">
        <v>3241</v>
      </c>
      <c r="OPZ6" s="2888" t="s">
        <v>3241</v>
      </c>
      <c r="OQA6" s="2888" t="s">
        <v>3241</v>
      </c>
      <c r="OQB6" s="2888" t="s">
        <v>3241</v>
      </c>
      <c r="OQC6" s="2888" t="s">
        <v>3241</v>
      </c>
      <c r="OQD6" s="2888" t="s">
        <v>3241</v>
      </c>
      <c r="OQE6" s="2888" t="s">
        <v>3241</v>
      </c>
      <c r="OQF6" s="2888" t="s">
        <v>3241</v>
      </c>
      <c r="OQG6" s="2888" t="s">
        <v>3241</v>
      </c>
      <c r="OQH6" s="2888" t="s">
        <v>3241</v>
      </c>
      <c r="OQI6" s="2888" t="s">
        <v>3241</v>
      </c>
      <c r="OQJ6" s="2888" t="s">
        <v>3241</v>
      </c>
      <c r="OQK6" s="2888" t="s">
        <v>3241</v>
      </c>
      <c r="OQL6" s="2888" t="s">
        <v>3241</v>
      </c>
      <c r="OQM6" s="2888" t="s">
        <v>3241</v>
      </c>
      <c r="OQN6" s="2888" t="s">
        <v>3241</v>
      </c>
      <c r="OQO6" s="2888" t="s">
        <v>3241</v>
      </c>
      <c r="OQP6" s="2888" t="s">
        <v>3241</v>
      </c>
      <c r="OQQ6" s="2888" t="s">
        <v>3241</v>
      </c>
      <c r="OQR6" s="2888" t="s">
        <v>3241</v>
      </c>
      <c r="OQS6" s="2888" t="s">
        <v>3241</v>
      </c>
      <c r="OQT6" s="2888" t="s">
        <v>3241</v>
      </c>
      <c r="OQU6" s="2888" t="s">
        <v>3241</v>
      </c>
      <c r="OQV6" s="2888" t="s">
        <v>3241</v>
      </c>
      <c r="OQW6" s="2888" t="s">
        <v>3241</v>
      </c>
      <c r="OQX6" s="2888" t="s">
        <v>3241</v>
      </c>
      <c r="OQY6" s="2888" t="s">
        <v>3241</v>
      </c>
      <c r="OQZ6" s="2888" t="s">
        <v>3241</v>
      </c>
      <c r="ORA6" s="2888" t="s">
        <v>3241</v>
      </c>
      <c r="ORB6" s="2888" t="s">
        <v>3241</v>
      </c>
      <c r="ORC6" s="2888" t="s">
        <v>3241</v>
      </c>
      <c r="ORD6" s="2888" t="s">
        <v>3241</v>
      </c>
      <c r="ORE6" s="2888" t="s">
        <v>3241</v>
      </c>
      <c r="ORF6" s="2888" t="s">
        <v>3241</v>
      </c>
      <c r="ORG6" s="2888" t="s">
        <v>3241</v>
      </c>
      <c r="ORH6" s="2888" t="s">
        <v>3241</v>
      </c>
      <c r="ORI6" s="2888" t="s">
        <v>3241</v>
      </c>
      <c r="ORJ6" s="2888" t="s">
        <v>3241</v>
      </c>
      <c r="ORK6" s="2888" t="s">
        <v>3241</v>
      </c>
      <c r="ORL6" s="2888" t="s">
        <v>3241</v>
      </c>
      <c r="ORM6" s="2888" t="s">
        <v>3241</v>
      </c>
      <c r="ORN6" s="2888" t="s">
        <v>3241</v>
      </c>
      <c r="ORO6" s="2888" t="s">
        <v>3241</v>
      </c>
      <c r="ORP6" s="2888" t="s">
        <v>3241</v>
      </c>
      <c r="ORQ6" s="2888" t="s">
        <v>3241</v>
      </c>
      <c r="ORR6" s="2888" t="s">
        <v>3241</v>
      </c>
      <c r="ORS6" s="2888" t="s">
        <v>3241</v>
      </c>
      <c r="ORT6" s="2888" t="s">
        <v>3241</v>
      </c>
      <c r="ORU6" s="2888" t="s">
        <v>3241</v>
      </c>
      <c r="ORV6" s="2888" t="s">
        <v>3241</v>
      </c>
      <c r="ORW6" s="2888" t="s">
        <v>3241</v>
      </c>
      <c r="ORX6" s="2888" t="s">
        <v>3241</v>
      </c>
      <c r="ORY6" s="2888" t="s">
        <v>3241</v>
      </c>
      <c r="ORZ6" s="2888" t="s">
        <v>3241</v>
      </c>
      <c r="OSA6" s="2888" t="s">
        <v>3241</v>
      </c>
      <c r="OSB6" s="2888" t="s">
        <v>3241</v>
      </c>
      <c r="OSC6" s="2888" t="s">
        <v>3241</v>
      </c>
      <c r="OSD6" s="2888" t="s">
        <v>3241</v>
      </c>
      <c r="OSE6" s="2888" t="s">
        <v>3241</v>
      </c>
      <c r="OSF6" s="2888" t="s">
        <v>3241</v>
      </c>
      <c r="OSG6" s="2888" t="s">
        <v>3241</v>
      </c>
      <c r="OSH6" s="2888" t="s">
        <v>3241</v>
      </c>
      <c r="OSI6" s="2888" t="s">
        <v>3241</v>
      </c>
      <c r="OSJ6" s="2888" t="s">
        <v>3241</v>
      </c>
      <c r="OSK6" s="2888" t="s">
        <v>3241</v>
      </c>
      <c r="OSL6" s="2888" t="s">
        <v>3241</v>
      </c>
      <c r="OSM6" s="2888" t="s">
        <v>3241</v>
      </c>
      <c r="OSN6" s="2888" t="s">
        <v>3241</v>
      </c>
      <c r="OSO6" s="2888" t="s">
        <v>3241</v>
      </c>
      <c r="OSP6" s="2888" t="s">
        <v>3241</v>
      </c>
      <c r="OSQ6" s="2888" t="s">
        <v>3241</v>
      </c>
      <c r="OSR6" s="2888" t="s">
        <v>3241</v>
      </c>
      <c r="OSS6" s="2888" t="s">
        <v>3241</v>
      </c>
      <c r="OST6" s="2888" t="s">
        <v>3241</v>
      </c>
      <c r="OSU6" s="2888" t="s">
        <v>3241</v>
      </c>
      <c r="OSV6" s="2888" t="s">
        <v>3241</v>
      </c>
      <c r="OSW6" s="2888" t="s">
        <v>3241</v>
      </c>
      <c r="OSX6" s="2888" t="s">
        <v>3241</v>
      </c>
      <c r="OSY6" s="2888" t="s">
        <v>3241</v>
      </c>
      <c r="OSZ6" s="2888" t="s">
        <v>3241</v>
      </c>
      <c r="OTA6" s="2888" t="s">
        <v>3241</v>
      </c>
      <c r="OTB6" s="2888" t="s">
        <v>3241</v>
      </c>
      <c r="OTC6" s="2888" t="s">
        <v>3241</v>
      </c>
      <c r="OTD6" s="2888" t="s">
        <v>3241</v>
      </c>
      <c r="OTE6" s="2888" t="s">
        <v>3241</v>
      </c>
      <c r="OTF6" s="2888" t="s">
        <v>3241</v>
      </c>
      <c r="OTG6" s="2888" t="s">
        <v>3241</v>
      </c>
      <c r="OTH6" s="2888" t="s">
        <v>3241</v>
      </c>
      <c r="OTI6" s="2888" t="s">
        <v>3241</v>
      </c>
      <c r="OTJ6" s="2888" t="s">
        <v>3241</v>
      </c>
      <c r="OTK6" s="2888" t="s">
        <v>3241</v>
      </c>
      <c r="OTL6" s="2888" t="s">
        <v>3241</v>
      </c>
      <c r="OTM6" s="2888" t="s">
        <v>3241</v>
      </c>
      <c r="OTN6" s="2888" t="s">
        <v>3241</v>
      </c>
      <c r="OTO6" s="2888" t="s">
        <v>3241</v>
      </c>
      <c r="OTP6" s="2888" t="s">
        <v>3241</v>
      </c>
      <c r="OTQ6" s="2888" t="s">
        <v>3241</v>
      </c>
      <c r="OTR6" s="2888" t="s">
        <v>3241</v>
      </c>
      <c r="OTS6" s="2888" t="s">
        <v>3241</v>
      </c>
      <c r="OTT6" s="2888" t="s">
        <v>3241</v>
      </c>
      <c r="OTU6" s="2888" t="s">
        <v>3241</v>
      </c>
      <c r="OTV6" s="2888" t="s">
        <v>3241</v>
      </c>
      <c r="OTW6" s="2888" t="s">
        <v>3241</v>
      </c>
      <c r="OTX6" s="2888" t="s">
        <v>3241</v>
      </c>
      <c r="OTY6" s="2888" t="s">
        <v>3241</v>
      </c>
      <c r="OTZ6" s="2888" t="s">
        <v>3241</v>
      </c>
      <c r="OUA6" s="2888" t="s">
        <v>3241</v>
      </c>
      <c r="OUB6" s="2888" t="s">
        <v>3241</v>
      </c>
      <c r="OUC6" s="2888" t="s">
        <v>3241</v>
      </c>
      <c r="OUD6" s="2888" t="s">
        <v>3241</v>
      </c>
      <c r="OUE6" s="2888" t="s">
        <v>3241</v>
      </c>
      <c r="OUF6" s="2888" t="s">
        <v>3241</v>
      </c>
      <c r="OUG6" s="2888" t="s">
        <v>3241</v>
      </c>
      <c r="OUH6" s="2888" t="s">
        <v>3241</v>
      </c>
      <c r="OUI6" s="2888" t="s">
        <v>3241</v>
      </c>
      <c r="OUJ6" s="2888" t="s">
        <v>3241</v>
      </c>
      <c r="OUK6" s="2888" t="s">
        <v>3241</v>
      </c>
      <c r="OUL6" s="2888" t="s">
        <v>3241</v>
      </c>
      <c r="OUM6" s="2888" t="s">
        <v>3241</v>
      </c>
      <c r="OUN6" s="2888" t="s">
        <v>3241</v>
      </c>
      <c r="OUO6" s="2888" t="s">
        <v>3241</v>
      </c>
      <c r="OUP6" s="2888" t="s">
        <v>3241</v>
      </c>
      <c r="OUQ6" s="2888" t="s">
        <v>3241</v>
      </c>
      <c r="OUR6" s="2888" t="s">
        <v>3241</v>
      </c>
      <c r="OUS6" s="2888" t="s">
        <v>3241</v>
      </c>
      <c r="OUT6" s="2888" t="s">
        <v>3241</v>
      </c>
      <c r="OUU6" s="2888" t="s">
        <v>3241</v>
      </c>
      <c r="OUV6" s="2888" t="s">
        <v>3241</v>
      </c>
      <c r="OUW6" s="2888" t="s">
        <v>3241</v>
      </c>
      <c r="OUX6" s="2888" t="s">
        <v>3241</v>
      </c>
      <c r="OUY6" s="2888" t="s">
        <v>3241</v>
      </c>
      <c r="OUZ6" s="2888" t="s">
        <v>3241</v>
      </c>
      <c r="OVA6" s="2888" t="s">
        <v>3241</v>
      </c>
      <c r="OVB6" s="2888" t="s">
        <v>3241</v>
      </c>
      <c r="OVC6" s="2888" t="s">
        <v>3241</v>
      </c>
      <c r="OVD6" s="2888" t="s">
        <v>3241</v>
      </c>
      <c r="OVE6" s="2888" t="s">
        <v>3241</v>
      </c>
      <c r="OVF6" s="2888" t="s">
        <v>3241</v>
      </c>
      <c r="OVG6" s="2888" t="s">
        <v>3241</v>
      </c>
      <c r="OVH6" s="2888" t="s">
        <v>3241</v>
      </c>
      <c r="OVI6" s="2888" t="s">
        <v>3241</v>
      </c>
      <c r="OVJ6" s="2888" t="s">
        <v>3241</v>
      </c>
      <c r="OVK6" s="2888" t="s">
        <v>3241</v>
      </c>
      <c r="OVL6" s="2888" t="s">
        <v>3241</v>
      </c>
      <c r="OVM6" s="2888" t="s">
        <v>3241</v>
      </c>
      <c r="OVN6" s="2888" t="s">
        <v>3241</v>
      </c>
      <c r="OVO6" s="2888" t="s">
        <v>3241</v>
      </c>
      <c r="OVP6" s="2888" t="s">
        <v>3241</v>
      </c>
      <c r="OVQ6" s="2888" t="s">
        <v>3241</v>
      </c>
      <c r="OVR6" s="2888" t="s">
        <v>3241</v>
      </c>
      <c r="OVS6" s="2888" t="s">
        <v>3241</v>
      </c>
      <c r="OVT6" s="2888" t="s">
        <v>3241</v>
      </c>
      <c r="OVU6" s="2888" t="s">
        <v>3241</v>
      </c>
      <c r="OVV6" s="2888" t="s">
        <v>3241</v>
      </c>
      <c r="OVW6" s="2888" t="s">
        <v>3241</v>
      </c>
      <c r="OVX6" s="2888" t="s">
        <v>3241</v>
      </c>
      <c r="OVY6" s="2888" t="s">
        <v>3241</v>
      </c>
      <c r="OVZ6" s="2888" t="s">
        <v>3241</v>
      </c>
      <c r="OWA6" s="2888" t="s">
        <v>3241</v>
      </c>
      <c r="OWB6" s="2888" t="s">
        <v>3241</v>
      </c>
      <c r="OWC6" s="2888" t="s">
        <v>3241</v>
      </c>
      <c r="OWD6" s="2888" t="s">
        <v>3241</v>
      </c>
      <c r="OWE6" s="2888" t="s">
        <v>3241</v>
      </c>
      <c r="OWF6" s="2888" t="s">
        <v>3241</v>
      </c>
      <c r="OWG6" s="2888" t="s">
        <v>3241</v>
      </c>
      <c r="OWH6" s="2888" t="s">
        <v>3241</v>
      </c>
      <c r="OWI6" s="2888" t="s">
        <v>3241</v>
      </c>
      <c r="OWJ6" s="2888" t="s">
        <v>3241</v>
      </c>
      <c r="OWK6" s="2888" t="s">
        <v>3241</v>
      </c>
      <c r="OWL6" s="2888" t="s">
        <v>3241</v>
      </c>
      <c r="OWM6" s="2888" t="s">
        <v>3241</v>
      </c>
      <c r="OWN6" s="2888" t="s">
        <v>3241</v>
      </c>
      <c r="OWO6" s="2888" t="s">
        <v>3241</v>
      </c>
      <c r="OWP6" s="2888" t="s">
        <v>3241</v>
      </c>
      <c r="OWQ6" s="2888" t="s">
        <v>3241</v>
      </c>
      <c r="OWR6" s="2888" t="s">
        <v>3241</v>
      </c>
      <c r="OWS6" s="2888" t="s">
        <v>3241</v>
      </c>
      <c r="OWT6" s="2888" t="s">
        <v>3241</v>
      </c>
      <c r="OWU6" s="2888" t="s">
        <v>3241</v>
      </c>
      <c r="OWV6" s="2888" t="s">
        <v>3241</v>
      </c>
      <c r="OWW6" s="2888" t="s">
        <v>3241</v>
      </c>
      <c r="OWX6" s="2888" t="s">
        <v>3241</v>
      </c>
      <c r="OWY6" s="2888" t="s">
        <v>3241</v>
      </c>
      <c r="OWZ6" s="2888" t="s">
        <v>3241</v>
      </c>
      <c r="OXA6" s="2888" t="s">
        <v>3241</v>
      </c>
      <c r="OXB6" s="2888" t="s">
        <v>3241</v>
      </c>
      <c r="OXC6" s="2888" t="s">
        <v>3241</v>
      </c>
      <c r="OXD6" s="2888" t="s">
        <v>3241</v>
      </c>
      <c r="OXE6" s="2888" t="s">
        <v>3241</v>
      </c>
      <c r="OXF6" s="2888" t="s">
        <v>3241</v>
      </c>
      <c r="OXG6" s="2888" t="s">
        <v>3241</v>
      </c>
      <c r="OXH6" s="2888" t="s">
        <v>3241</v>
      </c>
      <c r="OXI6" s="2888" t="s">
        <v>3241</v>
      </c>
      <c r="OXJ6" s="2888" t="s">
        <v>3241</v>
      </c>
      <c r="OXK6" s="2888" t="s">
        <v>3241</v>
      </c>
      <c r="OXL6" s="2888" t="s">
        <v>3241</v>
      </c>
      <c r="OXM6" s="2888" t="s">
        <v>3241</v>
      </c>
      <c r="OXN6" s="2888" t="s">
        <v>3241</v>
      </c>
      <c r="OXO6" s="2888" t="s">
        <v>3241</v>
      </c>
      <c r="OXP6" s="2888" t="s">
        <v>3241</v>
      </c>
      <c r="OXQ6" s="2888" t="s">
        <v>3241</v>
      </c>
      <c r="OXR6" s="2888" t="s">
        <v>3241</v>
      </c>
      <c r="OXS6" s="2888" t="s">
        <v>3241</v>
      </c>
      <c r="OXT6" s="2888" t="s">
        <v>3241</v>
      </c>
      <c r="OXU6" s="2888" t="s">
        <v>3241</v>
      </c>
      <c r="OXV6" s="2888" t="s">
        <v>3241</v>
      </c>
      <c r="OXW6" s="2888" t="s">
        <v>3241</v>
      </c>
      <c r="OXX6" s="2888" t="s">
        <v>3241</v>
      </c>
      <c r="OXY6" s="2888" t="s">
        <v>3241</v>
      </c>
      <c r="OXZ6" s="2888" t="s">
        <v>3241</v>
      </c>
      <c r="OYA6" s="2888" t="s">
        <v>3241</v>
      </c>
      <c r="OYB6" s="2888" t="s">
        <v>3241</v>
      </c>
      <c r="OYC6" s="2888" t="s">
        <v>3241</v>
      </c>
      <c r="OYD6" s="2888" t="s">
        <v>3241</v>
      </c>
      <c r="OYE6" s="2888" t="s">
        <v>3241</v>
      </c>
      <c r="OYF6" s="2888" t="s">
        <v>3241</v>
      </c>
      <c r="OYG6" s="2888" t="s">
        <v>3241</v>
      </c>
      <c r="OYH6" s="2888" t="s">
        <v>3241</v>
      </c>
      <c r="OYI6" s="2888" t="s">
        <v>3241</v>
      </c>
      <c r="OYJ6" s="2888" t="s">
        <v>3241</v>
      </c>
      <c r="OYK6" s="2888" t="s">
        <v>3241</v>
      </c>
      <c r="OYL6" s="2888" t="s">
        <v>3241</v>
      </c>
      <c r="OYM6" s="2888" t="s">
        <v>3241</v>
      </c>
      <c r="OYN6" s="2888" t="s">
        <v>3241</v>
      </c>
      <c r="OYO6" s="2888" t="s">
        <v>3241</v>
      </c>
      <c r="OYP6" s="2888" t="s">
        <v>3241</v>
      </c>
      <c r="OYQ6" s="2888" t="s">
        <v>3241</v>
      </c>
      <c r="OYR6" s="2888" t="s">
        <v>3241</v>
      </c>
      <c r="OYS6" s="2888" t="s">
        <v>3241</v>
      </c>
      <c r="OYT6" s="2888" t="s">
        <v>3241</v>
      </c>
      <c r="OYU6" s="2888" t="s">
        <v>3241</v>
      </c>
      <c r="OYV6" s="2888" t="s">
        <v>3241</v>
      </c>
      <c r="OYW6" s="2888" t="s">
        <v>3241</v>
      </c>
      <c r="OYX6" s="2888" t="s">
        <v>3241</v>
      </c>
      <c r="OYY6" s="2888" t="s">
        <v>3241</v>
      </c>
      <c r="OYZ6" s="2888" t="s">
        <v>3241</v>
      </c>
      <c r="OZA6" s="2888" t="s">
        <v>3241</v>
      </c>
      <c r="OZB6" s="2888" t="s">
        <v>3241</v>
      </c>
      <c r="OZC6" s="2888" t="s">
        <v>3241</v>
      </c>
      <c r="OZD6" s="2888" t="s">
        <v>3241</v>
      </c>
      <c r="OZE6" s="2888" t="s">
        <v>3241</v>
      </c>
      <c r="OZF6" s="2888" t="s">
        <v>3241</v>
      </c>
      <c r="OZG6" s="2888" t="s">
        <v>3241</v>
      </c>
      <c r="OZH6" s="2888" t="s">
        <v>3241</v>
      </c>
      <c r="OZI6" s="2888" t="s">
        <v>3241</v>
      </c>
      <c r="OZJ6" s="2888" t="s">
        <v>3241</v>
      </c>
      <c r="OZK6" s="2888" t="s">
        <v>3241</v>
      </c>
      <c r="OZL6" s="2888" t="s">
        <v>3241</v>
      </c>
      <c r="OZM6" s="2888" t="s">
        <v>3241</v>
      </c>
      <c r="OZN6" s="2888" t="s">
        <v>3241</v>
      </c>
      <c r="OZO6" s="2888" t="s">
        <v>3241</v>
      </c>
      <c r="OZP6" s="2888" t="s">
        <v>3241</v>
      </c>
      <c r="OZQ6" s="2888" t="s">
        <v>3241</v>
      </c>
      <c r="OZR6" s="2888" t="s">
        <v>3241</v>
      </c>
      <c r="OZS6" s="2888" t="s">
        <v>3241</v>
      </c>
      <c r="OZT6" s="2888" t="s">
        <v>3241</v>
      </c>
      <c r="OZU6" s="2888" t="s">
        <v>3241</v>
      </c>
      <c r="OZV6" s="2888" t="s">
        <v>3241</v>
      </c>
      <c r="OZW6" s="2888" t="s">
        <v>3241</v>
      </c>
      <c r="OZX6" s="2888" t="s">
        <v>3241</v>
      </c>
      <c r="OZY6" s="2888" t="s">
        <v>3241</v>
      </c>
      <c r="OZZ6" s="2888" t="s">
        <v>3241</v>
      </c>
      <c r="PAA6" s="2888" t="s">
        <v>3241</v>
      </c>
      <c r="PAB6" s="2888" t="s">
        <v>3241</v>
      </c>
      <c r="PAC6" s="2888" t="s">
        <v>3241</v>
      </c>
      <c r="PAD6" s="2888" t="s">
        <v>3241</v>
      </c>
      <c r="PAE6" s="2888" t="s">
        <v>3241</v>
      </c>
      <c r="PAF6" s="2888" t="s">
        <v>3241</v>
      </c>
      <c r="PAG6" s="2888" t="s">
        <v>3241</v>
      </c>
      <c r="PAH6" s="2888" t="s">
        <v>3241</v>
      </c>
      <c r="PAI6" s="2888" t="s">
        <v>3241</v>
      </c>
      <c r="PAJ6" s="2888" t="s">
        <v>3241</v>
      </c>
      <c r="PAK6" s="2888" t="s">
        <v>3241</v>
      </c>
      <c r="PAL6" s="2888" t="s">
        <v>3241</v>
      </c>
      <c r="PAM6" s="2888" t="s">
        <v>3241</v>
      </c>
      <c r="PAN6" s="2888" t="s">
        <v>3241</v>
      </c>
      <c r="PAO6" s="2888" t="s">
        <v>3241</v>
      </c>
      <c r="PAP6" s="2888" t="s">
        <v>3241</v>
      </c>
      <c r="PAQ6" s="2888" t="s">
        <v>3241</v>
      </c>
      <c r="PAR6" s="2888" t="s">
        <v>3241</v>
      </c>
      <c r="PAS6" s="2888" t="s">
        <v>3241</v>
      </c>
      <c r="PAT6" s="2888" t="s">
        <v>3241</v>
      </c>
      <c r="PAU6" s="2888" t="s">
        <v>3241</v>
      </c>
      <c r="PAV6" s="2888" t="s">
        <v>3241</v>
      </c>
      <c r="PAW6" s="2888" t="s">
        <v>3241</v>
      </c>
      <c r="PAX6" s="2888" t="s">
        <v>3241</v>
      </c>
      <c r="PAY6" s="2888" t="s">
        <v>3241</v>
      </c>
      <c r="PAZ6" s="2888" t="s">
        <v>3241</v>
      </c>
      <c r="PBA6" s="2888" t="s">
        <v>3241</v>
      </c>
      <c r="PBB6" s="2888" t="s">
        <v>3241</v>
      </c>
      <c r="PBC6" s="2888" t="s">
        <v>3241</v>
      </c>
      <c r="PBD6" s="2888" t="s">
        <v>3241</v>
      </c>
      <c r="PBE6" s="2888" t="s">
        <v>3241</v>
      </c>
      <c r="PBF6" s="2888" t="s">
        <v>3241</v>
      </c>
      <c r="PBG6" s="2888" t="s">
        <v>3241</v>
      </c>
      <c r="PBH6" s="2888" t="s">
        <v>3241</v>
      </c>
      <c r="PBI6" s="2888" t="s">
        <v>3241</v>
      </c>
      <c r="PBJ6" s="2888" t="s">
        <v>3241</v>
      </c>
      <c r="PBK6" s="2888" t="s">
        <v>3241</v>
      </c>
      <c r="PBL6" s="2888" t="s">
        <v>3241</v>
      </c>
      <c r="PBM6" s="2888" t="s">
        <v>3241</v>
      </c>
      <c r="PBN6" s="2888" t="s">
        <v>3241</v>
      </c>
      <c r="PBO6" s="2888" t="s">
        <v>3241</v>
      </c>
      <c r="PBP6" s="2888" t="s">
        <v>3241</v>
      </c>
      <c r="PBQ6" s="2888" t="s">
        <v>3241</v>
      </c>
      <c r="PBR6" s="2888" t="s">
        <v>3241</v>
      </c>
      <c r="PBS6" s="2888" t="s">
        <v>3241</v>
      </c>
      <c r="PBT6" s="2888" t="s">
        <v>3241</v>
      </c>
      <c r="PBU6" s="2888" t="s">
        <v>3241</v>
      </c>
      <c r="PBV6" s="2888" t="s">
        <v>3241</v>
      </c>
      <c r="PBW6" s="2888" t="s">
        <v>3241</v>
      </c>
      <c r="PBX6" s="2888" t="s">
        <v>3241</v>
      </c>
      <c r="PBY6" s="2888" t="s">
        <v>3241</v>
      </c>
      <c r="PBZ6" s="2888" t="s">
        <v>3241</v>
      </c>
      <c r="PCA6" s="2888" t="s">
        <v>3241</v>
      </c>
      <c r="PCB6" s="2888" t="s">
        <v>3241</v>
      </c>
      <c r="PCC6" s="2888" t="s">
        <v>3241</v>
      </c>
      <c r="PCD6" s="2888" t="s">
        <v>3241</v>
      </c>
      <c r="PCE6" s="2888" t="s">
        <v>3241</v>
      </c>
      <c r="PCF6" s="2888" t="s">
        <v>3241</v>
      </c>
      <c r="PCG6" s="2888" t="s">
        <v>3241</v>
      </c>
      <c r="PCH6" s="2888" t="s">
        <v>3241</v>
      </c>
      <c r="PCI6" s="2888" t="s">
        <v>3241</v>
      </c>
      <c r="PCJ6" s="2888" t="s">
        <v>3241</v>
      </c>
      <c r="PCK6" s="2888" t="s">
        <v>3241</v>
      </c>
      <c r="PCL6" s="2888" t="s">
        <v>3241</v>
      </c>
      <c r="PCM6" s="2888" t="s">
        <v>3241</v>
      </c>
      <c r="PCN6" s="2888" t="s">
        <v>3241</v>
      </c>
      <c r="PCO6" s="2888" t="s">
        <v>3241</v>
      </c>
      <c r="PCP6" s="2888" t="s">
        <v>3241</v>
      </c>
      <c r="PCQ6" s="2888" t="s">
        <v>3241</v>
      </c>
      <c r="PCR6" s="2888" t="s">
        <v>3241</v>
      </c>
      <c r="PCS6" s="2888" t="s">
        <v>3241</v>
      </c>
      <c r="PCT6" s="2888" t="s">
        <v>3241</v>
      </c>
      <c r="PCU6" s="2888" t="s">
        <v>3241</v>
      </c>
      <c r="PCV6" s="2888" t="s">
        <v>3241</v>
      </c>
      <c r="PCW6" s="2888" t="s">
        <v>3241</v>
      </c>
      <c r="PCX6" s="2888" t="s">
        <v>3241</v>
      </c>
      <c r="PCY6" s="2888" t="s">
        <v>3241</v>
      </c>
      <c r="PCZ6" s="2888" t="s">
        <v>3241</v>
      </c>
      <c r="PDA6" s="2888" t="s">
        <v>3241</v>
      </c>
      <c r="PDB6" s="2888" t="s">
        <v>3241</v>
      </c>
      <c r="PDC6" s="2888" t="s">
        <v>3241</v>
      </c>
      <c r="PDD6" s="2888" t="s">
        <v>3241</v>
      </c>
      <c r="PDE6" s="2888" t="s">
        <v>3241</v>
      </c>
      <c r="PDF6" s="2888" t="s">
        <v>3241</v>
      </c>
      <c r="PDG6" s="2888" t="s">
        <v>3241</v>
      </c>
      <c r="PDH6" s="2888" t="s">
        <v>3241</v>
      </c>
      <c r="PDI6" s="2888" t="s">
        <v>3241</v>
      </c>
      <c r="PDJ6" s="2888" t="s">
        <v>3241</v>
      </c>
      <c r="PDK6" s="2888" t="s">
        <v>3241</v>
      </c>
      <c r="PDL6" s="2888" t="s">
        <v>3241</v>
      </c>
      <c r="PDM6" s="2888" t="s">
        <v>3241</v>
      </c>
      <c r="PDN6" s="2888" t="s">
        <v>3241</v>
      </c>
      <c r="PDO6" s="2888" t="s">
        <v>3241</v>
      </c>
      <c r="PDP6" s="2888" t="s">
        <v>3241</v>
      </c>
      <c r="PDQ6" s="2888" t="s">
        <v>3241</v>
      </c>
      <c r="PDR6" s="2888" t="s">
        <v>3241</v>
      </c>
      <c r="PDS6" s="2888" t="s">
        <v>3241</v>
      </c>
      <c r="PDT6" s="2888" t="s">
        <v>3241</v>
      </c>
      <c r="PDU6" s="2888" t="s">
        <v>3241</v>
      </c>
      <c r="PDV6" s="2888" t="s">
        <v>3241</v>
      </c>
      <c r="PDW6" s="2888" t="s">
        <v>3241</v>
      </c>
      <c r="PDX6" s="2888" t="s">
        <v>3241</v>
      </c>
      <c r="PDY6" s="2888" t="s">
        <v>3241</v>
      </c>
      <c r="PDZ6" s="2888" t="s">
        <v>3241</v>
      </c>
      <c r="PEA6" s="2888" t="s">
        <v>3241</v>
      </c>
      <c r="PEB6" s="2888" t="s">
        <v>3241</v>
      </c>
      <c r="PEC6" s="2888" t="s">
        <v>3241</v>
      </c>
      <c r="PED6" s="2888" t="s">
        <v>3241</v>
      </c>
      <c r="PEE6" s="2888" t="s">
        <v>3241</v>
      </c>
      <c r="PEF6" s="2888" t="s">
        <v>3241</v>
      </c>
      <c r="PEG6" s="2888" t="s">
        <v>3241</v>
      </c>
      <c r="PEH6" s="2888" t="s">
        <v>3241</v>
      </c>
      <c r="PEI6" s="2888" t="s">
        <v>3241</v>
      </c>
      <c r="PEJ6" s="2888" t="s">
        <v>3241</v>
      </c>
      <c r="PEK6" s="2888" t="s">
        <v>3241</v>
      </c>
      <c r="PEL6" s="2888" t="s">
        <v>3241</v>
      </c>
      <c r="PEM6" s="2888" t="s">
        <v>3241</v>
      </c>
      <c r="PEN6" s="2888" t="s">
        <v>3241</v>
      </c>
      <c r="PEO6" s="2888" t="s">
        <v>3241</v>
      </c>
      <c r="PEP6" s="2888" t="s">
        <v>3241</v>
      </c>
      <c r="PEQ6" s="2888" t="s">
        <v>3241</v>
      </c>
      <c r="PER6" s="2888" t="s">
        <v>3241</v>
      </c>
      <c r="PES6" s="2888" t="s">
        <v>3241</v>
      </c>
      <c r="PET6" s="2888" t="s">
        <v>3241</v>
      </c>
      <c r="PEU6" s="2888" t="s">
        <v>3241</v>
      </c>
      <c r="PEV6" s="2888" t="s">
        <v>3241</v>
      </c>
      <c r="PEW6" s="2888" t="s">
        <v>3241</v>
      </c>
      <c r="PEX6" s="2888" t="s">
        <v>3241</v>
      </c>
      <c r="PEY6" s="2888" t="s">
        <v>3241</v>
      </c>
      <c r="PEZ6" s="2888" t="s">
        <v>3241</v>
      </c>
      <c r="PFA6" s="2888" t="s">
        <v>3241</v>
      </c>
      <c r="PFB6" s="2888" t="s">
        <v>3241</v>
      </c>
      <c r="PFC6" s="2888" t="s">
        <v>3241</v>
      </c>
      <c r="PFD6" s="2888" t="s">
        <v>3241</v>
      </c>
      <c r="PFE6" s="2888" t="s">
        <v>3241</v>
      </c>
      <c r="PFF6" s="2888" t="s">
        <v>3241</v>
      </c>
      <c r="PFG6" s="2888" t="s">
        <v>3241</v>
      </c>
      <c r="PFH6" s="2888" t="s">
        <v>3241</v>
      </c>
      <c r="PFI6" s="2888" t="s">
        <v>3241</v>
      </c>
      <c r="PFJ6" s="2888" t="s">
        <v>3241</v>
      </c>
      <c r="PFK6" s="2888" t="s">
        <v>3241</v>
      </c>
      <c r="PFL6" s="2888" t="s">
        <v>3241</v>
      </c>
      <c r="PFM6" s="2888" t="s">
        <v>3241</v>
      </c>
      <c r="PFN6" s="2888" t="s">
        <v>3241</v>
      </c>
      <c r="PFO6" s="2888" t="s">
        <v>3241</v>
      </c>
      <c r="PFP6" s="2888" t="s">
        <v>3241</v>
      </c>
      <c r="PFQ6" s="2888" t="s">
        <v>3241</v>
      </c>
      <c r="PFR6" s="2888" t="s">
        <v>3241</v>
      </c>
      <c r="PFS6" s="2888" t="s">
        <v>3241</v>
      </c>
      <c r="PFT6" s="2888" t="s">
        <v>3241</v>
      </c>
      <c r="PFU6" s="2888" t="s">
        <v>3241</v>
      </c>
      <c r="PFV6" s="2888" t="s">
        <v>3241</v>
      </c>
      <c r="PFW6" s="2888" t="s">
        <v>3241</v>
      </c>
      <c r="PFX6" s="2888" t="s">
        <v>3241</v>
      </c>
      <c r="PFY6" s="2888" t="s">
        <v>3241</v>
      </c>
      <c r="PFZ6" s="2888" t="s">
        <v>3241</v>
      </c>
      <c r="PGA6" s="2888" t="s">
        <v>3241</v>
      </c>
      <c r="PGB6" s="2888" t="s">
        <v>3241</v>
      </c>
      <c r="PGC6" s="2888" t="s">
        <v>3241</v>
      </c>
      <c r="PGD6" s="2888" t="s">
        <v>3241</v>
      </c>
      <c r="PGE6" s="2888" t="s">
        <v>3241</v>
      </c>
      <c r="PGF6" s="2888" t="s">
        <v>3241</v>
      </c>
      <c r="PGG6" s="2888" t="s">
        <v>3241</v>
      </c>
      <c r="PGH6" s="2888" t="s">
        <v>3241</v>
      </c>
      <c r="PGI6" s="2888" t="s">
        <v>3241</v>
      </c>
      <c r="PGJ6" s="2888" t="s">
        <v>3241</v>
      </c>
      <c r="PGK6" s="2888" t="s">
        <v>3241</v>
      </c>
      <c r="PGL6" s="2888" t="s">
        <v>3241</v>
      </c>
      <c r="PGM6" s="2888" t="s">
        <v>3241</v>
      </c>
      <c r="PGN6" s="2888" t="s">
        <v>3241</v>
      </c>
      <c r="PGO6" s="2888" t="s">
        <v>3241</v>
      </c>
      <c r="PGP6" s="2888" t="s">
        <v>3241</v>
      </c>
      <c r="PGQ6" s="2888" t="s">
        <v>3241</v>
      </c>
      <c r="PGR6" s="2888" t="s">
        <v>3241</v>
      </c>
      <c r="PGS6" s="2888" t="s">
        <v>3241</v>
      </c>
      <c r="PGT6" s="2888" t="s">
        <v>3241</v>
      </c>
      <c r="PGU6" s="2888" t="s">
        <v>3241</v>
      </c>
      <c r="PGV6" s="2888" t="s">
        <v>3241</v>
      </c>
      <c r="PGW6" s="2888" t="s">
        <v>3241</v>
      </c>
      <c r="PGX6" s="2888" t="s">
        <v>3241</v>
      </c>
      <c r="PGY6" s="2888" t="s">
        <v>3241</v>
      </c>
      <c r="PGZ6" s="2888" t="s">
        <v>3241</v>
      </c>
      <c r="PHA6" s="2888" t="s">
        <v>3241</v>
      </c>
      <c r="PHB6" s="2888" t="s">
        <v>3241</v>
      </c>
      <c r="PHC6" s="2888" t="s">
        <v>3241</v>
      </c>
      <c r="PHD6" s="2888" t="s">
        <v>3241</v>
      </c>
      <c r="PHE6" s="2888" t="s">
        <v>3241</v>
      </c>
      <c r="PHF6" s="2888" t="s">
        <v>3241</v>
      </c>
      <c r="PHG6" s="2888" t="s">
        <v>3241</v>
      </c>
      <c r="PHH6" s="2888" t="s">
        <v>3241</v>
      </c>
      <c r="PHI6" s="2888" t="s">
        <v>3241</v>
      </c>
      <c r="PHJ6" s="2888" t="s">
        <v>3241</v>
      </c>
      <c r="PHK6" s="2888" t="s">
        <v>3241</v>
      </c>
      <c r="PHL6" s="2888" t="s">
        <v>3241</v>
      </c>
      <c r="PHM6" s="2888" t="s">
        <v>3241</v>
      </c>
      <c r="PHN6" s="2888" t="s">
        <v>3241</v>
      </c>
      <c r="PHO6" s="2888" t="s">
        <v>3241</v>
      </c>
      <c r="PHP6" s="2888" t="s">
        <v>3241</v>
      </c>
      <c r="PHQ6" s="2888" t="s">
        <v>3241</v>
      </c>
      <c r="PHR6" s="2888" t="s">
        <v>3241</v>
      </c>
      <c r="PHS6" s="2888" t="s">
        <v>3241</v>
      </c>
      <c r="PHT6" s="2888" t="s">
        <v>3241</v>
      </c>
      <c r="PHU6" s="2888" t="s">
        <v>3241</v>
      </c>
      <c r="PHV6" s="2888" t="s">
        <v>3241</v>
      </c>
      <c r="PHW6" s="2888" t="s">
        <v>3241</v>
      </c>
      <c r="PHX6" s="2888" t="s">
        <v>3241</v>
      </c>
      <c r="PHY6" s="2888" t="s">
        <v>3241</v>
      </c>
      <c r="PHZ6" s="2888" t="s">
        <v>3241</v>
      </c>
      <c r="PIA6" s="2888" t="s">
        <v>3241</v>
      </c>
      <c r="PIB6" s="2888" t="s">
        <v>3241</v>
      </c>
      <c r="PIC6" s="2888" t="s">
        <v>3241</v>
      </c>
      <c r="PID6" s="2888" t="s">
        <v>3241</v>
      </c>
      <c r="PIE6" s="2888" t="s">
        <v>3241</v>
      </c>
      <c r="PIF6" s="2888" t="s">
        <v>3241</v>
      </c>
      <c r="PIG6" s="2888" t="s">
        <v>3241</v>
      </c>
      <c r="PIH6" s="2888" t="s">
        <v>3241</v>
      </c>
      <c r="PII6" s="2888" t="s">
        <v>3241</v>
      </c>
      <c r="PIJ6" s="2888" t="s">
        <v>3241</v>
      </c>
      <c r="PIK6" s="2888" t="s">
        <v>3241</v>
      </c>
      <c r="PIL6" s="2888" t="s">
        <v>3241</v>
      </c>
      <c r="PIM6" s="2888" t="s">
        <v>3241</v>
      </c>
      <c r="PIN6" s="2888" t="s">
        <v>3241</v>
      </c>
      <c r="PIO6" s="2888" t="s">
        <v>3241</v>
      </c>
      <c r="PIP6" s="2888" t="s">
        <v>3241</v>
      </c>
      <c r="PIQ6" s="2888" t="s">
        <v>3241</v>
      </c>
      <c r="PIR6" s="2888" t="s">
        <v>3241</v>
      </c>
      <c r="PIS6" s="2888" t="s">
        <v>3241</v>
      </c>
      <c r="PIT6" s="2888" t="s">
        <v>3241</v>
      </c>
      <c r="PIU6" s="2888" t="s">
        <v>3241</v>
      </c>
      <c r="PIV6" s="2888" t="s">
        <v>3241</v>
      </c>
      <c r="PIW6" s="2888" t="s">
        <v>3241</v>
      </c>
      <c r="PIX6" s="2888" t="s">
        <v>3241</v>
      </c>
      <c r="PIY6" s="2888" t="s">
        <v>3241</v>
      </c>
      <c r="PIZ6" s="2888" t="s">
        <v>3241</v>
      </c>
      <c r="PJA6" s="2888" t="s">
        <v>3241</v>
      </c>
      <c r="PJB6" s="2888" t="s">
        <v>3241</v>
      </c>
      <c r="PJC6" s="2888" t="s">
        <v>3241</v>
      </c>
      <c r="PJD6" s="2888" t="s">
        <v>3241</v>
      </c>
      <c r="PJE6" s="2888" t="s">
        <v>3241</v>
      </c>
      <c r="PJF6" s="2888" t="s">
        <v>3241</v>
      </c>
      <c r="PJG6" s="2888" t="s">
        <v>3241</v>
      </c>
      <c r="PJH6" s="2888" t="s">
        <v>3241</v>
      </c>
      <c r="PJI6" s="2888" t="s">
        <v>3241</v>
      </c>
      <c r="PJJ6" s="2888" t="s">
        <v>3241</v>
      </c>
      <c r="PJK6" s="2888" t="s">
        <v>3241</v>
      </c>
      <c r="PJL6" s="2888" t="s">
        <v>3241</v>
      </c>
      <c r="PJM6" s="2888" t="s">
        <v>3241</v>
      </c>
      <c r="PJN6" s="2888" t="s">
        <v>3241</v>
      </c>
      <c r="PJO6" s="2888" t="s">
        <v>3241</v>
      </c>
      <c r="PJP6" s="2888" t="s">
        <v>3241</v>
      </c>
      <c r="PJQ6" s="2888" t="s">
        <v>3241</v>
      </c>
      <c r="PJR6" s="2888" t="s">
        <v>3241</v>
      </c>
      <c r="PJS6" s="2888" t="s">
        <v>3241</v>
      </c>
      <c r="PJT6" s="2888" t="s">
        <v>3241</v>
      </c>
      <c r="PJU6" s="2888" t="s">
        <v>3241</v>
      </c>
      <c r="PJV6" s="2888" t="s">
        <v>3241</v>
      </c>
      <c r="PJW6" s="2888" t="s">
        <v>3241</v>
      </c>
      <c r="PJX6" s="2888" t="s">
        <v>3241</v>
      </c>
      <c r="PJY6" s="2888" t="s">
        <v>3241</v>
      </c>
      <c r="PJZ6" s="2888" t="s">
        <v>3241</v>
      </c>
      <c r="PKA6" s="2888" t="s">
        <v>3241</v>
      </c>
      <c r="PKB6" s="2888" t="s">
        <v>3241</v>
      </c>
      <c r="PKC6" s="2888" t="s">
        <v>3241</v>
      </c>
      <c r="PKD6" s="2888" t="s">
        <v>3241</v>
      </c>
      <c r="PKE6" s="2888" t="s">
        <v>3241</v>
      </c>
      <c r="PKF6" s="2888" t="s">
        <v>3241</v>
      </c>
      <c r="PKG6" s="2888" t="s">
        <v>3241</v>
      </c>
      <c r="PKH6" s="2888" t="s">
        <v>3241</v>
      </c>
      <c r="PKI6" s="2888" t="s">
        <v>3241</v>
      </c>
      <c r="PKJ6" s="2888" t="s">
        <v>3241</v>
      </c>
      <c r="PKK6" s="2888" t="s">
        <v>3241</v>
      </c>
      <c r="PKL6" s="2888" t="s">
        <v>3241</v>
      </c>
      <c r="PKM6" s="2888" t="s">
        <v>3241</v>
      </c>
      <c r="PKN6" s="2888" t="s">
        <v>3241</v>
      </c>
      <c r="PKO6" s="2888" t="s">
        <v>3241</v>
      </c>
      <c r="PKP6" s="2888" t="s">
        <v>3241</v>
      </c>
      <c r="PKQ6" s="2888" t="s">
        <v>3241</v>
      </c>
      <c r="PKR6" s="2888" t="s">
        <v>3241</v>
      </c>
      <c r="PKS6" s="2888" t="s">
        <v>3241</v>
      </c>
      <c r="PKT6" s="2888" t="s">
        <v>3241</v>
      </c>
      <c r="PKU6" s="2888" t="s">
        <v>3241</v>
      </c>
      <c r="PKV6" s="2888" t="s">
        <v>3241</v>
      </c>
      <c r="PKW6" s="2888" t="s">
        <v>3241</v>
      </c>
      <c r="PKX6" s="2888" t="s">
        <v>3241</v>
      </c>
      <c r="PKY6" s="2888" t="s">
        <v>3241</v>
      </c>
      <c r="PKZ6" s="2888" t="s">
        <v>3241</v>
      </c>
      <c r="PLA6" s="2888" t="s">
        <v>3241</v>
      </c>
      <c r="PLB6" s="2888" t="s">
        <v>3241</v>
      </c>
      <c r="PLC6" s="2888" t="s">
        <v>3241</v>
      </c>
      <c r="PLD6" s="2888" t="s">
        <v>3241</v>
      </c>
      <c r="PLE6" s="2888" t="s">
        <v>3241</v>
      </c>
      <c r="PLF6" s="2888" t="s">
        <v>3241</v>
      </c>
      <c r="PLG6" s="2888" t="s">
        <v>3241</v>
      </c>
      <c r="PLH6" s="2888" t="s">
        <v>3241</v>
      </c>
      <c r="PLI6" s="2888" t="s">
        <v>3241</v>
      </c>
      <c r="PLJ6" s="2888" t="s">
        <v>3241</v>
      </c>
      <c r="PLK6" s="2888" t="s">
        <v>3241</v>
      </c>
      <c r="PLL6" s="2888" t="s">
        <v>3241</v>
      </c>
      <c r="PLM6" s="2888" t="s">
        <v>3241</v>
      </c>
      <c r="PLN6" s="2888" t="s">
        <v>3241</v>
      </c>
      <c r="PLO6" s="2888" t="s">
        <v>3241</v>
      </c>
      <c r="PLP6" s="2888" t="s">
        <v>3241</v>
      </c>
      <c r="PLQ6" s="2888" t="s">
        <v>3241</v>
      </c>
      <c r="PLR6" s="2888" t="s">
        <v>3241</v>
      </c>
      <c r="PLS6" s="2888" t="s">
        <v>3241</v>
      </c>
      <c r="PLT6" s="2888" t="s">
        <v>3241</v>
      </c>
      <c r="PLU6" s="2888" t="s">
        <v>3241</v>
      </c>
      <c r="PLV6" s="2888" t="s">
        <v>3241</v>
      </c>
      <c r="PLW6" s="2888" t="s">
        <v>3241</v>
      </c>
      <c r="PLX6" s="2888" t="s">
        <v>3241</v>
      </c>
      <c r="PLY6" s="2888" t="s">
        <v>3241</v>
      </c>
      <c r="PLZ6" s="2888" t="s">
        <v>3241</v>
      </c>
      <c r="PMA6" s="2888" t="s">
        <v>3241</v>
      </c>
      <c r="PMB6" s="2888" t="s">
        <v>3241</v>
      </c>
      <c r="PMC6" s="2888" t="s">
        <v>3241</v>
      </c>
      <c r="PMD6" s="2888" t="s">
        <v>3241</v>
      </c>
      <c r="PME6" s="2888" t="s">
        <v>3241</v>
      </c>
      <c r="PMF6" s="2888" t="s">
        <v>3241</v>
      </c>
      <c r="PMG6" s="2888" t="s">
        <v>3241</v>
      </c>
      <c r="PMH6" s="2888" t="s">
        <v>3241</v>
      </c>
      <c r="PMI6" s="2888" t="s">
        <v>3241</v>
      </c>
      <c r="PMJ6" s="2888" t="s">
        <v>3241</v>
      </c>
      <c r="PMK6" s="2888" t="s">
        <v>3241</v>
      </c>
      <c r="PML6" s="2888" t="s">
        <v>3241</v>
      </c>
      <c r="PMM6" s="2888" t="s">
        <v>3241</v>
      </c>
      <c r="PMN6" s="2888" t="s">
        <v>3241</v>
      </c>
      <c r="PMO6" s="2888" t="s">
        <v>3241</v>
      </c>
      <c r="PMP6" s="2888" t="s">
        <v>3241</v>
      </c>
      <c r="PMQ6" s="2888" t="s">
        <v>3241</v>
      </c>
      <c r="PMR6" s="2888" t="s">
        <v>3241</v>
      </c>
      <c r="PMS6" s="2888" t="s">
        <v>3241</v>
      </c>
      <c r="PMT6" s="2888" t="s">
        <v>3241</v>
      </c>
      <c r="PMU6" s="2888" t="s">
        <v>3241</v>
      </c>
      <c r="PMV6" s="2888" t="s">
        <v>3241</v>
      </c>
      <c r="PMW6" s="2888" t="s">
        <v>3241</v>
      </c>
      <c r="PMX6" s="2888" t="s">
        <v>3241</v>
      </c>
      <c r="PMY6" s="2888" t="s">
        <v>3241</v>
      </c>
      <c r="PMZ6" s="2888" t="s">
        <v>3241</v>
      </c>
      <c r="PNA6" s="2888" t="s">
        <v>3241</v>
      </c>
      <c r="PNB6" s="2888" t="s">
        <v>3241</v>
      </c>
      <c r="PNC6" s="2888" t="s">
        <v>3241</v>
      </c>
      <c r="PND6" s="2888" t="s">
        <v>3241</v>
      </c>
      <c r="PNE6" s="2888" t="s">
        <v>3241</v>
      </c>
      <c r="PNF6" s="2888" t="s">
        <v>3241</v>
      </c>
      <c r="PNG6" s="2888" t="s">
        <v>3241</v>
      </c>
      <c r="PNH6" s="2888" t="s">
        <v>3241</v>
      </c>
      <c r="PNI6" s="2888" t="s">
        <v>3241</v>
      </c>
      <c r="PNJ6" s="2888" t="s">
        <v>3241</v>
      </c>
      <c r="PNK6" s="2888" t="s">
        <v>3241</v>
      </c>
      <c r="PNL6" s="2888" t="s">
        <v>3241</v>
      </c>
      <c r="PNM6" s="2888" t="s">
        <v>3241</v>
      </c>
      <c r="PNN6" s="2888" t="s">
        <v>3241</v>
      </c>
      <c r="PNO6" s="2888" t="s">
        <v>3241</v>
      </c>
      <c r="PNP6" s="2888" t="s">
        <v>3241</v>
      </c>
      <c r="PNQ6" s="2888" t="s">
        <v>3241</v>
      </c>
      <c r="PNR6" s="2888" t="s">
        <v>3241</v>
      </c>
      <c r="PNS6" s="2888" t="s">
        <v>3241</v>
      </c>
      <c r="PNT6" s="2888" t="s">
        <v>3241</v>
      </c>
      <c r="PNU6" s="2888" t="s">
        <v>3241</v>
      </c>
      <c r="PNV6" s="2888" t="s">
        <v>3241</v>
      </c>
      <c r="PNW6" s="2888" t="s">
        <v>3241</v>
      </c>
      <c r="PNX6" s="2888" t="s">
        <v>3241</v>
      </c>
      <c r="PNY6" s="2888" t="s">
        <v>3241</v>
      </c>
      <c r="PNZ6" s="2888" t="s">
        <v>3241</v>
      </c>
      <c r="POA6" s="2888" t="s">
        <v>3241</v>
      </c>
      <c r="POB6" s="2888" t="s">
        <v>3241</v>
      </c>
      <c r="POC6" s="2888" t="s">
        <v>3241</v>
      </c>
      <c r="POD6" s="2888" t="s">
        <v>3241</v>
      </c>
      <c r="POE6" s="2888" t="s">
        <v>3241</v>
      </c>
      <c r="POF6" s="2888" t="s">
        <v>3241</v>
      </c>
      <c r="POG6" s="2888" t="s">
        <v>3241</v>
      </c>
      <c r="POH6" s="2888" t="s">
        <v>3241</v>
      </c>
      <c r="POI6" s="2888" t="s">
        <v>3241</v>
      </c>
      <c r="POJ6" s="2888" t="s">
        <v>3241</v>
      </c>
      <c r="POK6" s="2888" t="s">
        <v>3241</v>
      </c>
      <c r="POL6" s="2888" t="s">
        <v>3241</v>
      </c>
      <c r="POM6" s="2888" t="s">
        <v>3241</v>
      </c>
      <c r="PON6" s="2888" t="s">
        <v>3241</v>
      </c>
      <c r="POO6" s="2888" t="s">
        <v>3241</v>
      </c>
      <c r="POP6" s="2888" t="s">
        <v>3241</v>
      </c>
      <c r="POQ6" s="2888" t="s">
        <v>3241</v>
      </c>
      <c r="POR6" s="2888" t="s">
        <v>3241</v>
      </c>
      <c r="POS6" s="2888" t="s">
        <v>3241</v>
      </c>
      <c r="POT6" s="2888" t="s">
        <v>3241</v>
      </c>
      <c r="POU6" s="2888" t="s">
        <v>3241</v>
      </c>
      <c r="POV6" s="2888" t="s">
        <v>3241</v>
      </c>
      <c r="POW6" s="2888" t="s">
        <v>3241</v>
      </c>
      <c r="POX6" s="2888" t="s">
        <v>3241</v>
      </c>
      <c r="POY6" s="2888" t="s">
        <v>3241</v>
      </c>
      <c r="POZ6" s="2888" t="s">
        <v>3241</v>
      </c>
      <c r="PPA6" s="2888" t="s">
        <v>3241</v>
      </c>
      <c r="PPB6" s="2888" t="s">
        <v>3241</v>
      </c>
      <c r="PPC6" s="2888" t="s">
        <v>3241</v>
      </c>
      <c r="PPD6" s="2888" t="s">
        <v>3241</v>
      </c>
      <c r="PPE6" s="2888" t="s">
        <v>3241</v>
      </c>
      <c r="PPF6" s="2888" t="s">
        <v>3241</v>
      </c>
      <c r="PPG6" s="2888" t="s">
        <v>3241</v>
      </c>
      <c r="PPH6" s="2888" t="s">
        <v>3241</v>
      </c>
      <c r="PPI6" s="2888" t="s">
        <v>3241</v>
      </c>
      <c r="PPJ6" s="2888" t="s">
        <v>3241</v>
      </c>
      <c r="PPK6" s="2888" t="s">
        <v>3241</v>
      </c>
      <c r="PPL6" s="2888" t="s">
        <v>3241</v>
      </c>
      <c r="PPM6" s="2888" t="s">
        <v>3241</v>
      </c>
      <c r="PPN6" s="2888" t="s">
        <v>3241</v>
      </c>
      <c r="PPO6" s="2888" t="s">
        <v>3241</v>
      </c>
      <c r="PPP6" s="2888" t="s">
        <v>3241</v>
      </c>
      <c r="PPQ6" s="2888" t="s">
        <v>3241</v>
      </c>
      <c r="PPR6" s="2888" t="s">
        <v>3241</v>
      </c>
      <c r="PPS6" s="2888" t="s">
        <v>3241</v>
      </c>
      <c r="PPT6" s="2888" t="s">
        <v>3241</v>
      </c>
      <c r="PPU6" s="2888" t="s">
        <v>3241</v>
      </c>
      <c r="PPV6" s="2888" t="s">
        <v>3241</v>
      </c>
      <c r="PPW6" s="2888" t="s">
        <v>3241</v>
      </c>
      <c r="PPX6" s="2888" t="s">
        <v>3241</v>
      </c>
      <c r="PPY6" s="2888" t="s">
        <v>3241</v>
      </c>
      <c r="PPZ6" s="2888" t="s">
        <v>3241</v>
      </c>
      <c r="PQA6" s="2888" t="s">
        <v>3241</v>
      </c>
      <c r="PQB6" s="2888" t="s">
        <v>3241</v>
      </c>
      <c r="PQC6" s="2888" t="s">
        <v>3241</v>
      </c>
      <c r="PQD6" s="2888" t="s">
        <v>3241</v>
      </c>
      <c r="PQE6" s="2888" t="s">
        <v>3241</v>
      </c>
      <c r="PQF6" s="2888" t="s">
        <v>3241</v>
      </c>
      <c r="PQG6" s="2888" t="s">
        <v>3241</v>
      </c>
      <c r="PQH6" s="2888" t="s">
        <v>3241</v>
      </c>
      <c r="PQI6" s="2888" t="s">
        <v>3241</v>
      </c>
      <c r="PQJ6" s="2888" t="s">
        <v>3241</v>
      </c>
      <c r="PQK6" s="2888" t="s">
        <v>3241</v>
      </c>
      <c r="PQL6" s="2888" t="s">
        <v>3241</v>
      </c>
      <c r="PQM6" s="2888" t="s">
        <v>3241</v>
      </c>
      <c r="PQN6" s="2888" t="s">
        <v>3241</v>
      </c>
      <c r="PQO6" s="2888" t="s">
        <v>3241</v>
      </c>
      <c r="PQP6" s="2888" t="s">
        <v>3241</v>
      </c>
      <c r="PQQ6" s="2888" t="s">
        <v>3241</v>
      </c>
      <c r="PQR6" s="2888" t="s">
        <v>3241</v>
      </c>
      <c r="PQS6" s="2888" t="s">
        <v>3241</v>
      </c>
      <c r="PQT6" s="2888" t="s">
        <v>3241</v>
      </c>
      <c r="PQU6" s="2888" t="s">
        <v>3241</v>
      </c>
      <c r="PQV6" s="2888" t="s">
        <v>3241</v>
      </c>
      <c r="PQW6" s="2888" t="s">
        <v>3241</v>
      </c>
      <c r="PQX6" s="2888" t="s">
        <v>3241</v>
      </c>
      <c r="PQY6" s="2888" t="s">
        <v>3241</v>
      </c>
      <c r="PQZ6" s="2888" t="s">
        <v>3241</v>
      </c>
      <c r="PRA6" s="2888" t="s">
        <v>3241</v>
      </c>
      <c r="PRB6" s="2888" t="s">
        <v>3241</v>
      </c>
      <c r="PRC6" s="2888" t="s">
        <v>3241</v>
      </c>
      <c r="PRD6" s="2888" t="s">
        <v>3241</v>
      </c>
      <c r="PRE6" s="2888" t="s">
        <v>3241</v>
      </c>
      <c r="PRF6" s="2888" t="s">
        <v>3241</v>
      </c>
      <c r="PRG6" s="2888" t="s">
        <v>3241</v>
      </c>
      <c r="PRH6" s="2888" t="s">
        <v>3241</v>
      </c>
      <c r="PRI6" s="2888" t="s">
        <v>3241</v>
      </c>
      <c r="PRJ6" s="2888" t="s">
        <v>3241</v>
      </c>
      <c r="PRK6" s="2888" t="s">
        <v>3241</v>
      </c>
      <c r="PRL6" s="2888" t="s">
        <v>3241</v>
      </c>
      <c r="PRM6" s="2888" t="s">
        <v>3241</v>
      </c>
      <c r="PRN6" s="2888" t="s">
        <v>3241</v>
      </c>
      <c r="PRO6" s="2888" t="s">
        <v>3241</v>
      </c>
      <c r="PRP6" s="2888" t="s">
        <v>3241</v>
      </c>
      <c r="PRQ6" s="2888" t="s">
        <v>3241</v>
      </c>
      <c r="PRR6" s="2888" t="s">
        <v>3241</v>
      </c>
      <c r="PRS6" s="2888" t="s">
        <v>3241</v>
      </c>
      <c r="PRT6" s="2888" t="s">
        <v>3241</v>
      </c>
      <c r="PRU6" s="2888" t="s">
        <v>3241</v>
      </c>
      <c r="PRV6" s="2888" t="s">
        <v>3241</v>
      </c>
      <c r="PRW6" s="2888" t="s">
        <v>3241</v>
      </c>
      <c r="PRX6" s="2888" t="s">
        <v>3241</v>
      </c>
      <c r="PRY6" s="2888" t="s">
        <v>3241</v>
      </c>
      <c r="PRZ6" s="2888" t="s">
        <v>3241</v>
      </c>
      <c r="PSA6" s="2888" t="s">
        <v>3241</v>
      </c>
      <c r="PSB6" s="2888" t="s">
        <v>3241</v>
      </c>
      <c r="PSC6" s="2888" t="s">
        <v>3241</v>
      </c>
      <c r="PSD6" s="2888" t="s">
        <v>3241</v>
      </c>
      <c r="PSE6" s="2888" t="s">
        <v>3241</v>
      </c>
      <c r="PSF6" s="2888" t="s">
        <v>3241</v>
      </c>
      <c r="PSG6" s="2888" t="s">
        <v>3241</v>
      </c>
      <c r="PSH6" s="2888" t="s">
        <v>3241</v>
      </c>
      <c r="PSI6" s="2888" t="s">
        <v>3241</v>
      </c>
      <c r="PSJ6" s="2888" t="s">
        <v>3241</v>
      </c>
      <c r="PSK6" s="2888" t="s">
        <v>3241</v>
      </c>
      <c r="PSL6" s="2888" t="s">
        <v>3241</v>
      </c>
      <c r="PSM6" s="2888" t="s">
        <v>3241</v>
      </c>
      <c r="PSN6" s="2888" t="s">
        <v>3241</v>
      </c>
      <c r="PSO6" s="2888" t="s">
        <v>3241</v>
      </c>
      <c r="PSP6" s="2888" t="s">
        <v>3241</v>
      </c>
      <c r="PSQ6" s="2888" t="s">
        <v>3241</v>
      </c>
      <c r="PSR6" s="2888" t="s">
        <v>3241</v>
      </c>
      <c r="PSS6" s="2888" t="s">
        <v>3241</v>
      </c>
      <c r="PST6" s="2888" t="s">
        <v>3241</v>
      </c>
      <c r="PSU6" s="2888" t="s">
        <v>3241</v>
      </c>
      <c r="PSV6" s="2888" t="s">
        <v>3241</v>
      </c>
      <c r="PSW6" s="2888" t="s">
        <v>3241</v>
      </c>
      <c r="PSX6" s="2888" t="s">
        <v>3241</v>
      </c>
      <c r="PSY6" s="2888" t="s">
        <v>3241</v>
      </c>
      <c r="PSZ6" s="2888" t="s">
        <v>3241</v>
      </c>
      <c r="PTA6" s="2888" t="s">
        <v>3241</v>
      </c>
      <c r="PTB6" s="2888" t="s">
        <v>3241</v>
      </c>
      <c r="PTC6" s="2888" t="s">
        <v>3241</v>
      </c>
      <c r="PTD6" s="2888" t="s">
        <v>3241</v>
      </c>
      <c r="PTE6" s="2888" t="s">
        <v>3241</v>
      </c>
      <c r="PTF6" s="2888" t="s">
        <v>3241</v>
      </c>
      <c r="PTG6" s="2888" t="s">
        <v>3241</v>
      </c>
      <c r="PTH6" s="2888" t="s">
        <v>3241</v>
      </c>
      <c r="PTI6" s="2888" t="s">
        <v>3241</v>
      </c>
      <c r="PTJ6" s="2888" t="s">
        <v>3241</v>
      </c>
      <c r="PTK6" s="2888" t="s">
        <v>3241</v>
      </c>
      <c r="PTL6" s="2888" t="s">
        <v>3241</v>
      </c>
      <c r="PTM6" s="2888" t="s">
        <v>3241</v>
      </c>
      <c r="PTN6" s="2888" t="s">
        <v>3241</v>
      </c>
      <c r="PTO6" s="2888" t="s">
        <v>3241</v>
      </c>
      <c r="PTP6" s="2888" t="s">
        <v>3241</v>
      </c>
      <c r="PTQ6" s="2888" t="s">
        <v>3241</v>
      </c>
      <c r="PTR6" s="2888" t="s">
        <v>3241</v>
      </c>
      <c r="PTS6" s="2888" t="s">
        <v>3241</v>
      </c>
      <c r="PTT6" s="2888" t="s">
        <v>3241</v>
      </c>
      <c r="PTU6" s="2888" t="s">
        <v>3241</v>
      </c>
      <c r="PTV6" s="2888" t="s">
        <v>3241</v>
      </c>
      <c r="PTW6" s="2888" t="s">
        <v>3241</v>
      </c>
      <c r="PTX6" s="2888" t="s">
        <v>3241</v>
      </c>
      <c r="PTY6" s="2888" t="s">
        <v>3241</v>
      </c>
      <c r="PTZ6" s="2888" t="s">
        <v>3241</v>
      </c>
      <c r="PUA6" s="2888" t="s">
        <v>3241</v>
      </c>
      <c r="PUB6" s="2888" t="s">
        <v>3241</v>
      </c>
      <c r="PUC6" s="2888" t="s">
        <v>3241</v>
      </c>
      <c r="PUD6" s="2888" t="s">
        <v>3241</v>
      </c>
      <c r="PUE6" s="2888" t="s">
        <v>3241</v>
      </c>
      <c r="PUF6" s="2888" t="s">
        <v>3241</v>
      </c>
      <c r="PUG6" s="2888" t="s">
        <v>3241</v>
      </c>
      <c r="PUH6" s="2888" t="s">
        <v>3241</v>
      </c>
      <c r="PUI6" s="2888" t="s">
        <v>3241</v>
      </c>
      <c r="PUJ6" s="2888" t="s">
        <v>3241</v>
      </c>
      <c r="PUK6" s="2888" t="s">
        <v>3241</v>
      </c>
      <c r="PUL6" s="2888" t="s">
        <v>3241</v>
      </c>
      <c r="PUM6" s="2888" t="s">
        <v>3241</v>
      </c>
      <c r="PUN6" s="2888" t="s">
        <v>3241</v>
      </c>
      <c r="PUO6" s="2888" t="s">
        <v>3241</v>
      </c>
      <c r="PUP6" s="2888" t="s">
        <v>3241</v>
      </c>
      <c r="PUQ6" s="2888" t="s">
        <v>3241</v>
      </c>
      <c r="PUR6" s="2888" t="s">
        <v>3241</v>
      </c>
      <c r="PUS6" s="2888" t="s">
        <v>3241</v>
      </c>
      <c r="PUT6" s="2888" t="s">
        <v>3241</v>
      </c>
      <c r="PUU6" s="2888" t="s">
        <v>3241</v>
      </c>
      <c r="PUV6" s="2888" t="s">
        <v>3241</v>
      </c>
      <c r="PUW6" s="2888" t="s">
        <v>3241</v>
      </c>
      <c r="PUX6" s="2888" t="s">
        <v>3241</v>
      </c>
      <c r="PUY6" s="2888" t="s">
        <v>3241</v>
      </c>
      <c r="PUZ6" s="2888" t="s">
        <v>3241</v>
      </c>
      <c r="PVA6" s="2888" t="s">
        <v>3241</v>
      </c>
      <c r="PVB6" s="2888" t="s">
        <v>3241</v>
      </c>
      <c r="PVC6" s="2888" t="s">
        <v>3241</v>
      </c>
      <c r="PVD6" s="2888" t="s">
        <v>3241</v>
      </c>
      <c r="PVE6" s="2888" t="s">
        <v>3241</v>
      </c>
      <c r="PVF6" s="2888" t="s">
        <v>3241</v>
      </c>
      <c r="PVG6" s="2888" t="s">
        <v>3241</v>
      </c>
      <c r="PVH6" s="2888" t="s">
        <v>3241</v>
      </c>
      <c r="PVI6" s="2888" t="s">
        <v>3241</v>
      </c>
      <c r="PVJ6" s="2888" t="s">
        <v>3241</v>
      </c>
      <c r="PVK6" s="2888" t="s">
        <v>3241</v>
      </c>
      <c r="PVL6" s="2888" t="s">
        <v>3241</v>
      </c>
      <c r="PVM6" s="2888" t="s">
        <v>3241</v>
      </c>
      <c r="PVN6" s="2888" t="s">
        <v>3241</v>
      </c>
      <c r="PVO6" s="2888" t="s">
        <v>3241</v>
      </c>
      <c r="PVP6" s="2888" t="s">
        <v>3241</v>
      </c>
      <c r="PVQ6" s="2888" t="s">
        <v>3241</v>
      </c>
      <c r="PVR6" s="2888" t="s">
        <v>3241</v>
      </c>
      <c r="PVS6" s="2888" t="s">
        <v>3241</v>
      </c>
      <c r="PVT6" s="2888" t="s">
        <v>3241</v>
      </c>
      <c r="PVU6" s="2888" t="s">
        <v>3241</v>
      </c>
      <c r="PVV6" s="2888" t="s">
        <v>3241</v>
      </c>
      <c r="PVW6" s="2888" t="s">
        <v>3241</v>
      </c>
      <c r="PVX6" s="2888" t="s">
        <v>3241</v>
      </c>
      <c r="PVY6" s="2888" t="s">
        <v>3241</v>
      </c>
      <c r="PVZ6" s="2888" t="s">
        <v>3241</v>
      </c>
      <c r="PWA6" s="2888" t="s">
        <v>3241</v>
      </c>
      <c r="PWB6" s="2888" t="s">
        <v>3241</v>
      </c>
      <c r="PWC6" s="2888" t="s">
        <v>3241</v>
      </c>
      <c r="PWD6" s="2888" t="s">
        <v>3241</v>
      </c>
      <c r="PWE6" s="2888" t="s">
        <v>3241</v>
      </c>
      <c r="PWF6" s="2888" t="s">
        <v>3241</v>
      </c>
      <c r="PWG6" s="2888" t="s">
        <v>3241</v>
      </c>
      <c r="PWH6" s="2888" t="s">
        <v>3241</v>
      </c>
      <c r="PWI6" s="2888" t="s">
        <v>3241</v>
      </c>
      <c r="PWJ6" s="2888" t="s">
        <v>3241</v>
      </c>
      <c r="PWK6" s="2888" t="s">
        <v>3241</v>
      </c>
      <c r="PWL6" s="2888" t="s">
        <v>3241</v>
      </c>
      <c r="PWM6" s="2888" t="s">
        <v>3241</v>
      </c>
      <c r="PWN6" s="2888" t="s">
        <v>3241</v>
      </c>
      <c r="PWO6" s="2888" t="s">
        <v>3241</v>
      </c>
      <c r="PWP6" s="2888" t="s">
        <v>3241</v>
      </c>
      <c r="PWQ6" s="2888" t="s">
        <v>3241</v>
      </c>
      <c r="PWR6" s="2888" t="s">
        <v>3241</v>
      </c>
      <c r="PWS6" s="2888" t="s">
        <v>3241</v>
      </c>
      <c r="PWT6" s="2888" t="s">
        <v>3241</v>
      </c>
      <c r="PWU6" s="2888" t="s">
        <v>3241</v>
      </c>
      <c r="PWV6" s="2888" t="s">
        <v>3241</v>
      </c>
      <c r="PWW6" s="2888" t="s">
        <v>3241</v>
      </c>
      <c r="PWX6" s="2888" t="s">
        <v>3241</v>
      </c>
      <c r="PWY6" s="2888" t="s">
        <v>3241</v>
      </c>
      <c r="PWZ6" s="2888" t="s">
        <v>3241</v>
      </c>
      <c r="PXA6" s="2888" t="s">
        <v>3241</v>
      </c>
      <c r="PXB6" s="2888" t="s">
        <v>3241</v>
      </c>
      <c r="PXC6" s="2888" t="s">
        <v>3241</v>
      </c>
      <c r="PXD6" s="2888" t="s">
        <v>3241</v>
      </c>
      <c r="PXE6" s="2888" t="s">
        <v>3241</v>
      </c>
      <c r="PXF6" s="2888" t="s">
        <v>3241</v>
      </c>
      <c r="PXG6" s="2888" t="s">
        <v>3241</v>
      </c>
      <c r="PXH6" s="2888" t="s">
        <v>3241</v>
      </c>
      <c r="PXI6" s="2888" t="s">
        <v>3241</v>
      </c>
      <c r="PXJ6" s="2888" t="s">
        <v>3241</v>
      </c>
      <c r="PXK6" s="2888" t="s">
        <v>3241</v>
      </c>
      <c r="PXL6" s="2888" t="s">
        <v>3241</v>
      </c>
      <c r="PXM6" s="2888" t="s">
        <v>3241</v>
      </c>
      <c r="PXN6" s="2888" t="s">
        <v>3241</v>
      </c>
      <c r="PXO6" s="2888" t="s">
        <v>3241</v>
      </c>
      <c r="PXP6" s="2888" t="s">
        <v>3241</v>
      </c>
      <c r="PXQ6" s="2888" t="s">
        <v>3241</v>
      </c>
      <c r="PXR6" s="2888" t="s">
        <v>3241</v>
      </c>
      <c r="PXS6" s="2888" t="s">
        <v>3241</v>
      </c>
      <c r="PXT6" s="2888" t="s">
        <v>3241</v>
      </c>
      <c r="PXU6" s="2888" t="s">
        <v>3241</v>
      </c>
      <c r="PXV6" s="2888" t="s">
        <v>3241</v>
      </c>
      <c r="PXW6" s="2888" t="s">
        <v>3241</v>
      </c>
      <c r="PXX6" s="2888" t="s">
        <v>3241</v>
      </c>
      <c r="PXY6" s="2888" t="s">
        <v>3241</v>
      </c>
      <c r="PXZ6" s="2888" t="s">
        <v>3241</v>
      </c>
      <c r="PYA6" s="2888" t="s">
        <v>3241</v>
      </c>
      <c r="PYB6" s="2888" t="s">
        <v>3241</v>
      </c>
      <c r="PYC6" s="2888" t="s">
        <v>3241</v>
      </c>
      <c r="PYD6" s="2888" t="s">
        <v>3241</v>
      </c>
      <c r="PYE6" s="2888" t="s">
        <v>3241</v>
      </c>
      <c r="PYF6" s="2888" t="s">
        <v>3241</v>
      </c>
      <c r="PYG6" s="2888" t="s">
        <v>3241</v>
      </c>
      <c r="PYH6" s="2888" t="s">
        <v>3241</v>
      </c>
      <c r="PYI6" s="2888" t="s">
        <v>3241</v>
      </c>
      <c r="PYJ6" s="2888" t="s">
        <v>3241</v>
      </c>
      <c r="PYK6" s="2888" t="s">
        <v>3241</v>
      </c>
      <c r="PYL6" s="2888" t="s">
        <v>3241</v>
      </c>
      <c r="PYM6" s="2888" t="s">
        <v>3241</v>
      </c>
      <c r="PYN6" s="2888" t="s">
        <v>3241</v>
      </c>
      <c r="PYO6" s="2888" t="s">
        <v>3241</v>
      </c>
      <c r="PYP6" s="2888" t="s">
        <v>3241</v>
      </c>
      <c r="PYQ6" s="2888" t="s">
        <v>3241</v>
      </c>
      <c r="PYR6" s="2888" t="s">
        <v>3241</v>
      </c>
      <c r="PYS6" s="2888" t="s">
        <v>3241</v>
      </c>
      <c r="PYT6" s="2888" t="s">
        <v>3241</v>
      </c>
      <c r="PYU6" s="2888" t="s">
        <v>3241</v>
      </c>
      <c r="PYV6" s="2888" t="s">
        <v>3241</v>
      </c>
      <c r="PYW6" s="2888" t="s">
        <v>3241</v>
      </c>
      <c r="PYX6" s="2888" t="s">
        <v>3241</v>
      </c>
      <c r="PYY6" s="2888" t="s">
        <v>3241</v>
      </c>
      <c r="PYZ6" s="2888" t="s">
        <v>3241</v>
      </c>
      <c r="PZA6" s="2888" t="s">
        <v>3241</v>
      </c>
      <c r="PZB6" s="2888" t="s">
        <v>3241</v>
      </c>
      <c r="PZC6" s="2888" t="s">
        <v>3241</v>
      </c>
      <c r="PZD6" s="2888" t="s">
        <v>3241</v>
      </c>
      <c r="PZE6" s="2888" t="s">
        <v>3241</v>
      </c>
      <c r="PZF6" s="2888" t="s">
        <v>3241</v>
      </c>
      <c r="PZG6" s="2888" t="s">
        <v>3241</v>
      </c>
      <c r="PZH6" s="2888" t="s">
        <v>3241</v>
      </c>
      <c r="PZI6" s="2888" t="s">
        <v>3241</v>
      </c>
      <c r="PZJ6" s="2888" t="s">
        <v>3241</v>
      </c>
      <c r="PZK6" s="2888" t="s">
        <v>3241</v>
      </c>
      <c r="PZL6" s="2888" t="s">
        <v>3241</v>
      </c>
      <c r="PZM6" s="2888" t="s">
        <v>3241</v>
      </c>
      <c r="PZN6" s="2888" t="s">
        <v>3241</v>
      </c>
      <c r="PZO6" s="2888" t="s">
        <v>3241</v>
      </c>
      <c r="PZP6" s="2888" t="s">
        <v>3241</v>
      </c>
      <c r="PZQ6" s="2888" t="s">
        <v>3241</v>
      </c>
      <c r="PZR6" s="2888" t="s">
        <v>3241</v>
      </c>
      <c r="PZS6" s="2888" t="s">
        <v>3241</v>
      </c>
      <c r="PZT6" s="2888" t="s">
        <v>3241</v>
      </c>
      <c r="PZU6" s="2888" t="s">
        <v>3241</v>
      </c>
      <c r="PZV6" s="2888" t="s">
        <v>3241</v>
      </c>
      <c r="PZW6" s="2888" t="s">
        <v>3241</v>
      </c>
      <c r="PZX6" s="2888" t="s">
        <v>3241</v>
      </c>
      <c r="PZY6" s="2888" t="s">
        <v>3241</v>
      </c>
      <c r="PZZ6" s="2888" t="s">
        <v>3241</v>
      </c>
      <c r="QAA6" s="2888" t="s">
        <v>3241</v>
      </c>
      <c r="QAB6" s="2888" t="s">
        <v>3241</v>
      </c>
      <c r="QAC6" s="2888" t="s">
        <v>3241</v>
      </c>
      <c r="QAD6" s="2888" t="s">
        <v>3241</v>
      </c>
      <c r="QAE6" s="2888" t="s">
        <v>3241</v>
      </c>
      <c r="QAF6" s="2888" t="s">
        <v>3241</v>
      </c>
      <c r="QAG6" s="2888" t="s">
        <v>3241</v>
      </c>
      <c r="QAH6" s="2888" t="s">
        <v>3241</v>
      </c>
      <c r="QAI6" s="2888" t="s">
        <v>3241</v>
      </c>
      <c r="QAJ6" s="2888" t="s">
        <v>3241</v>
      </c>
      <c r="QAK6" s="2888" t="s">
        <v>3241</v>
      </c>
      <c r="QAL6" s="2888" t="s">
        <v>3241</v>
      </c>
      <c r="QAM6" s="2888" t="s">
        <v>3241</v>
      </c>
      <c r="QAN6" s="2888" t="s">
        <v>3241</v>
      </c>
      <c r="QAO6" s="2888" t="s">
        <v>3241</v>
      </c>
      <c r="QAP6" s="2888" t="s">
        <v>3241</v>
      </c>
      <c r="QAQ6" s="2888" t="s">
        <v>3241</v>
      </c>
      <c r="QAR6" s="2888" t="s">
        <v>3241</v>
      </c>
      <c r="QAS6" s="2888" t="s">
        <v>3241</v>
      </c>
      <c r="QAT6" s="2888" t="s">
        <v>3241</v>
      </c>
      <c r="QAU6" s="2888" t="s">
        <v>3241</v>
      </c>
      <c r="QAV6" s="2888" t="s">
        <v>3241</v>
      </c>
      <c r="QAW6" s="2888" t="s">
        <v>3241</v>
      </c>
      <c r="QAX6" s="2888" t="s">
        <v>3241</v>
      </c>
      <c r="QAY6" s="2888" t="s">
        <v>3241</v>
      </c>
      <c r="QAZ6" s="2888" t="s">
        <v>3241</v>
      </c>
      <c r="QBA6" s="2888" t="s">
        <v>3241</v>
      </c>
      <c r="QBB6" s="2888" t="s">
        <v>3241</v>
      </c>
      <c r="QBC6" s="2888" t="s">
        <v>3241</v>
      </c>
      <c r="QBD6" s="2888" t="s">
        <v>3241</v>
      </c>
      <c r="QBE6" s="2888" t="s">
        <v>3241</v>
      </c>
      <c r="QBF6" s="2888" t="s">
        <v>3241</v>
      </c>
      <c r="QBG6" s="2888" t="s">
        <v>3241</v>
      </c>
      <c r="QBH6" s="2888" t="s">
        <v>3241</v>
      </c>
      <c r="QBI6" s="2888" t="s">
        <v>3241</v>
      </c>
      <c r="QBJ6" s="2888" t="s">
        <v>3241</v>
      </c>
      <c r="QBK6" s="2888" t="s">
        <v>3241</v>
      </c>
      <c r="QBL6" s="2888" t="s">
        <v>3241</v>
      </c>
      <c r="QBM6" s="2888" t="s">
        <v>3241</v>
      </c>
      <c r="QBN6" s="2888" t="s">
        <v>3241</v>
      </c>
      <c r="QBO6" s="2888" t="s">
        <v>3241</v>
      </c>
      <c r="QBP6" s="2888" t="s">
        <v>3241</v>
      </c>
      <c r="QBQ6" s="2888" t="s">
        <v>3241</v>
      </c>
      <c r="QBR6" s="2888" t="s">
        <v>3241</v>
      </c>
      <c r="QBS6" s="2888" t="s">
        <v>3241</v>
      </c>
      <c r="QBT6" s="2888" t="s">
        <v>3241</v>
      </c>
      <c r="QBU6" s="2888" t="s">
        <v>3241</v>
      </c>
      <c r="QBV6" s="2888" t="s">
        <v>3241</v>
      </c>
      <c r="QBW6" s="2888" t="s">
        <v>3241</v>
      </c>
      <c r="QBX6" s="2888" t="s">
        <v>3241</v>
      </c>
      <c r="QBY6" s="2888" t="s">
        <v>3241</v>
      </c>
      <c r="QBZ6" s="2888" t="s">
        <v>3241</v>
      </c>
      <c r="QCA6" s="2888" t="s">
        <v>3241</v>
      </c>
      <c r="QCB6" s="2888" t="s">
        <v>3241</v>
      </c>
      <c r="QCC6" s="2888" t="s">
        <v>3241</v>
      </c>
      <c r="QCD6" s="2888" t="s">
        <v>3241</v>
      </c>
      <c r="QCE6" s="2888" t="s">
        <v>3241</v>
      </c>
      <c r="QCF6" s="2888" t="s">
        <v>3241</v>
      </c>
      <c r="QCG6" s="2888" t="s">
        <v>3241</v>
      </c>
      <c r="QCH6" s="2888" t="s">
        <v>3241</v>
      </c>
      <c r="QCI6" s="2888" t="s">
        <v>3241</v>
      </c>
      <c r="QCJ6" s="2888" t="s">
        <v>3241</v>
      </c>
      <c r="QCK6" s="2888" t="s">
        <v>3241</v>
      </c>
      <c r="QCL6" s="2888" t="s">
        <v>3241</v>
      </c>
      <c r="QCM6" s="2888" t="s">
        <v>3241</v>
      </c>
      <c r="QCN6" s="2888" t="s">
        <v>3241</v>
      </c>
      <c r="QCO6" s="2888" t="s">
        <v>3241</v>
      </c>
      <c r="QCP6" s="2888" t="s">
        <v>3241</v>
      </c>
      <c r="QCQ6" s="2888" t="s">
        <v>3241</v>
      </c>
      <c r="QCR6" s="2888" t="s">
        <v>3241</v>
      </c>
      <c r="QCS6" s="2888" t="s">
        <v>3241</v>
      </c>
      <c r="QCT6" s="2888" t="s">
        <v>3241</v>
      </c>
      <c r="QCU6" s="2888" t="s">
        <v>3241</v>
      </c>
      <c r="QCV6" s="2888" t="s">
        <v>3241</v>
      </c>
      <c r="QCW6" s="2888" t="s">
        <v>3241</v>
      </c>
      <c r="QCX6" s="2888" t="s">
        <v>3241</v>
      </c>
      <c r="QCY6" s="2888" t="s">
        <v>3241</v>
      </c>
      <c r="QCZ6" s="2888" t="s">
        <v>3241</v>
      </c>
      <c r="QDA6" s="2888" t="s">
        <v>3241</v>
      </c>
      <c r="QDB6" s="2888" t="s">
        <v>3241</v>
      </c>
      <c r="QDC6" s="2888" t="s">
        <v>3241</v>
      </c>
      <c r="QDD6" s="2888" t="s">
        <v>3241</v>
      </c>
      <c r="QDE6" s="2888" t="s">
        <v>3241</v>
      </c>
      <c r="QDF6" s="2888" t="s">
        <v>3241</v>
      </c>
      <c r="QDG6" s="2888" t="s">
        <v>3241</v>
      </c>
      <c r="QDH6" s="2888" t="s">
        <v>3241</v>
      </c>
      <c r="QDI6" s="2888" t="s">
        <v>3241</v>
      </c>
      <c r="QDJ6" s="2888" t="s">
        <v>3241</v>
      </c>
      <c r="QDK6" s="2888" t="s">
        <v>3241</v>
      </c>
      <c r="QDL6" s="2888" t="s">
        <v>3241</v>
      </c>
      <c r="QDM6" s="2888" t="s">
        <v>3241</v>
      </c>
      <c r="QDN6" s="2888" t="s">
        <v>3241</v>
      </c>
      <c r="QDO6" s="2888" t="s">
        <v>3241</v>
      </c>
      <c r="QDP6" s="2888" t="s">
        <v>3241</v>
      </c>
      <c r="QDQ6" s="2888" t="s">
        <v>3241</v>
      </c>
      <c r="QDR6" s="2888" t="s">
        <v>3241</v>
      </c>
      <c r="QDS6" s="2888" t="s">
        <v>3241</v>
      </c>
      <c r="QDT6" s="2888" t="s">
        <v>3241</v>
      </c>
      <c r="QDU6" s="2888" t="s">
        <v>3241</v>
      </c>
      <c r="QDV6" s="2888" t="s">
        <v>3241</v>
      </c>
      <c r="QDW6" s="2888" t="s">
        <v>3241</v>
      </c>
      <c r="QDX6" s="2888" t="s">
        <v>3241</v>
      </c>
      <c r="QDY6" s="2888" t="s">
        <v>3241</v>
      </c>
      <c r="QDZ6" s="2888" t="s">
        <v>3241</v>
      </c>
      <c r="QEA6" s="2888" t="s">
        <v>3241</v>
      </c>
      <c r="QEB6" s="2888" t="s">
        <v>3241</v>
      </c>
      <c r="QEC6" s="2888" t="s">
        <v>3241</v>
      </c>
      <c r="QED6" s="2888" t="s">
        <v>3241</v>
      </c>
      <c r="QEE6" s="2888" t="s">
        <v>3241</v>
      </c>
      <c r="QEF6" s="2888" t="s">
        <v>3241</v>
      </c>
      <c r="QEG6" s="2888" t="s">
        <v>3241</v>
      </c>
      <c r="QEH6" s="2888" t="s">
        <v>3241</v>
      </c>
      <c r="QEI6" s="2888" t="s">
        <v>3241</v>
      </c>
      <c r="QEJ6" s="2888" t="s">
        <v>3241</v>
      </c>
      <c r="QEK6" s="2888" t="s">
        <v>3241</v>
      </c>
      <c r="QEL6" s="2888" t="s">
        <v>3241</v>
      </c>
      <c r="QEM6" s="2888" t="s">
        <v>3241</v>
      </c>
      <c r="QEN6" s="2888" t="s">
        <v>3241</v>
      </c>
      <c r="QEO6" s="2888" t="s">
        <v>3241</v>
      </c>
      <c r="QEP6" s="2888" t="s">
        <v>3241</v>
      </c>
      <c r="QEQ6" s="2888" t="s">
        <v>3241</v>
      </c>
      <c r="QER6" s="2888" t="s">
        <v>3241</v>
      </c>
      <c r="QES6" s="2888" t="s">
        <v>3241</v>
      </c>
      <c r="QET6" s="2888" t="s">
        <v>3241</v>
      </c>
      <c r="QEU6" s="2888" t="s">
        <v>3241</v>
      </c>
      <c r="QEV6" s="2888" t="s">
        <v>3241</v>
      </c>
      <c r="QEW6" s="2888" t="s">
        <v>3241</v>
      </c>
      <c r="QEX6" s="2888" t="s">
        <v>3241</v>
      </c>
      <c r="QEY6" s="2888" t="s">
        <v>3241</v>
      </c>
      <c r="QEZ6" s="2888" t="s">
        <v>3241</v>
      </c>
      <c r="QFA6" s="2888" t="s">
        <v>3241</v>
      </c>
      <c r="QFB6" s="2888" t="s">
        <v>3241</v>
      </c>
      <c r="QFC6" s="2888" t="s">
        <v>3241</v>
      </c>
      <c r="QFD6" s="2888" t="s">
        <v>3241</v>
      </c>
      <c r="QFE6" s="2888" t="s">
        <v>3241</v>
      </c>
      <c r="QFF6" s="2888" t="s">
        <v>3241</v>
      </c>
      <c r="QFG6" s="2888" t="s">
        <v>3241</v>
      </c>
      <c r="QFH6" s="2888" t="s">
        <v>3241</v>
      </c>
      <c r="QFI6" s="2888" t="s">
        <v>3241</v>
      </c>
      <c r="QFJ6" s="2888" t="s">
        <v>3241</v>
      </c>
      <c r="QFK6" s="2888" t="s">
        <v>3241</v>
      </c>
      <c r="QFL6" s="2888" t="s">
        <v>3241</v>
      </c>
      <c r="QFM6" s="2888" t="s">
        <v>3241</v>
      </c>
      <c r="QFN6" s="2888" t="s">
        <v>3241</v>
      </c>
      <c r="QFO6" s="2888" t="s">
        <v>3241</v>
      </c>
      <c r="QFP6" s="2888" t="s">
        <v>3241</v>
      </c>
      <c r="QFQ6" s="2888" t="s">
        <v>3241</v>
      </c>
      <c r="QFR6" s="2888" t="s">
        <v>3241</v>
      </c>
      <c r="QFS6" s="2888" t="s">
        <v>3241</v>
      </c>
      <c r="QFT6" s="2888" t="s">
        <v>3241</v>
      </c>
      <c r="QFU6" s="2888" t="s">
        <v>3241</v>
      </c>
      <c r="QFV6" s="2888" t="s">
        <v>3241</v>
      </c>
      <c r="QFW6" s="2888" t="s">
        <v>3241</v>
      </c>
      <c r="QFX6" s="2888" t="s">
        <v>3241</v>
      </c>
      <c r="QFY6" s="2888" t="s">
        <v>3241</v>
      </c>
      <c r="QFZ6" s="2888" t="s">
        <v>3241</v>
      </c>
      <c r="QGA6" s="2888" t="s">
        <v>3241</v>
      </c>
      <c r="QGB6" s="2888" t="s">
        <v>3241</v>
      </c>
      <c r="QGC6" s="2888" t="s">
        <v>3241</v>
      </c>
      <c r="QGD6" s="2888" t="s">
        <v>3241</v>
      </c>
      <c r="QGE6" s="2888" t="s">
        <v>3241</v>
      </c>
      <c r="QGF6" s="2888" t="s">
        <v>3241</v>
      </c>
      <c r="QGG6" s="2888" t="s">
        <v>3241</v>
      </c>
      <c r="QGH6" s="2888" t="s">
        <v>3241</v>
      </c>
      <c r="QGI6" s="2888" t="s">
        <v>3241</v>
      </c>
      <c r="QGJ6" s="2888" t="s">
        <v>3241</v>
      </c>
      <c r="QGK6" s="2888" t="s">
        <v>3241</v>
      </c>
      <c r="QGL6" s="2888" t="s">
        <v>3241</v>
      </c>
      <c r="QGM6" s="2888" t="s">
        <v>3241</v>
      </c>
      <c r="QGN6" s="2888" t="s">
        <v>3241</v>
      </c>
      <c r="QGO6" s="2888" t="s">
        <v>3241</v>
      </c>
      <c r="QGP6" s="2888" t="s">
        <v>3241</v>
      </c>
      <c r="QGQ6" s="2888" t="s">
        <v>3241</v>
      </c>
      <c r="QGR6" s="2888" t="s">
        <v>3241</v>
      </c>
      <c r="QGS6" s="2888" t="s">
        <v>3241</v>
      </c>
      <c r="QGT6" s="2888" t="s">
        <v>3241</v>
      </c>
      <c r="QGU6" s="2888" t="s">
        <v>3241</v>
      </c>
      <c r="QGV6" s="2888" t="s">
        <v>3241</v>
      </c>
      <c r="QGW6" s="2888" t="s">
        <v>3241</v>
      </c>
      <c r="QGX6" s="2888" t="s">
        <v>3241</v>
      </c>
      <c r="QGY6" s="2888" t="s">
        <v>3241</v>
      </c>
      <c r="QGZ6" s="2888" t="s">
        <v>3241</v>
      </c>
      <c r="QHA6" s="2888" t="s">
        <v>3241</v>
      </c>
      <c r="QHB6" s="2888" t="s">
        <v>3241</v>
      </c>
      <c r="QHC6" s="2888" t="s">
        <v>3241</v>
      </c>
      <c r="QHD6" s="2888" t="s">
        <v>3241</v>
      </c>
      <c r="QHE6" s="2888" t="s">
        <v>3241</v>
      </c>
      <c r="QHF6" s="2888" t="s">
        <v>3241</v>
      </c>
      <c r="QHG6" s="2888" t="s">
        <v>3241</v>
      </c>
      <c r="QHH6" s="2888" t="s">
        <v>3241</v>
      </c>
      <c r="QHI6" s="2888" t="s">
        <v>3241</v>
      </c>
      <c r="QHJ6" s="2888" t="s">
        <v>3241</v>
      </c>
      <c r="QHK6" s="2888" t="s">
        <v>3241</v>
      </c>
      <c r="QHL6" s="2888" t="s">
        <v>3241</v>
      </c>
      <c r="QHM6" s="2888" t="s">
        <v>3241</v>
      </c>
      <c r="QHN6" s="2888" t="s">
        <v>3241</v>
      </c>
      <c r="QHO6" s="2888" t="s">
        <v>3241</v>
      </c>
      <c r="QHP6" s="2888" t="s">
        <v>3241</v>
      </c>
      <c r="QHQ6" s="2888" t="s">
        <v>3241</v>
      </c>
      <c r="QHR6" s="2888" t="s">
        <v>3241</v>
      </c>
      <c r="QHS6" s="2888" t="s">
        <v>3241</v>
      </c>
      <c r="QHT6" s="2888" t="s">
        <v>3241</v>
      </c>
      <c r="QHU6" s="2888" t="s">
        <v>3241</v>
      </c>
      <c r="QHV6" s="2888" t="s">
        <v>3241</v>
      </c>
      <c r="QHW6" s="2888" t="s">
        <v>3241</v>
      </c>
      <c r="QHX6" s="2888" t="s">
        <v>3241</v>
      </c>
      <c r="QHY6" s="2888" t="s">
        <v>3241</v>
      </c>
      <c r="QHZ6" s="2888" t="s">
        <v>3241</v>
      </c>
      <c r="QIA6" s="2888" t="s">
        <v>3241</v>
      </c>
      <c r="QIB6" s="2888" t="s">
        <v>3241</v>
      </c>
      <c r="QIC6" s="2888" t="s">
        <v>3241</v>
      </c>
      <c r="QID6" s="2888" t="s">
        <v>3241</v>
      </c>
      <c r="QIE6" s="2888" t="s">
        <v>3241</v>
      </c>
      <c r="QIF6" s="2888" t="s">
        <v>3241</v>
      </c>
      <c r="QIG6" s="2888" t="s">
        <v>3241</v>
      </c>
      <c r="QIH6" s="2888" t="s">
        <v>3241</v>
      </c>
      <c r="QII6" s="2888" t="s">
        <v>3241</v>
      </c>
      <c r="QIJ6" s="2888" t="s">
        <v>3241</v>
      </c>
      <c r="QIK6" s="2888" t="s">
        <v>3241</v>
      </c>
      <c r="QIL6" s="2888" t="s">
        <v>3241</v>
      </c>
      <c r="QIM6" s="2888" t="s">
        <v>3241</v>
      </c>
      <c r="QIN6" s="2888" t="s">
        <v>3241</v>
      </c>
      <c r="QIO6" s="2888" t="s">
        <v>3241</v>
      </c>
      <c r="QIP6" s="2888" t="s">
        <v>3241</v>
      </c>
      <c r="QIQ6" s="2888" t="s">
        <v>3241</v>
      </c>
      <c r="QIR6" s="2888" t="s">
        <v>3241</v>
      </c>
      <c r="QIS6" s="2888" t="s">
        <v>3241</v>
      </c>
      <c r="QIT6" s="2888" t="s">
        <v>3241</v>
      </c>
      <c r="QIU6" s="2888" t="s">
        <v>3241</v>
      </c>
      <c r="QIV6" s="2888" t="s">
        <v>3241</v>
      </c>
      <c r="QIW6" s="2888" t="s">
        <v>3241</v>
      </c>
      <c r="QIX6" s="2888" t="s">
        <v>3241</v>
      </c>
      <c r="QIY6" s="2888" t="s">
        <v>3241</v>
      </c>
      <c r="QIZ6" s="2888" t="s">
        <v>3241</v>
      </c>
      <c r="QJA6" s="2888" t="s">
        <v>3241</v>
      </c>
      <c r="QJB6" s="2888" t="s">
        <v>3241</v>
      </c>
      <c r="QJC6" s="2888" t="s">
        <v>3241</v>
      </c>
      <c r="QJD6" s="2888" t="s">
        <v>3241</v>
      </c>
      <c r="QJE6" s="2888" t="s">
        <v>3241</v>
      </c>
      <c r="QJF6" s="2888" t="s">
        <v>3241</v>
      </c>
      <c r="QJG6" s="2888" t="s">
        <v>3241</v>
      </c>
      <c r="QJH6" s="2888" t="s">
        <v>3241</v>
      </c>
      <c r="QJI6" s="2888" t="s">
        <v>3241</v>
      </c>
      <c r="QJJ6" s="2888" t="s">
        <v>3241</v>
      </c>
      <c r="QJK6" s="2888" t="s">
        <v>3241</v>
      </c>
      <c r="QJL6" s="2888" t="s">
        <v>3241</v>
      </c>
      <c r="QJM6" s="2888" t="s">
        <v>3241</v>
      </c>
      <c r="QJN6" s="2888" t="s">
        <v>3241</v>
      </c>
      <c r="QJO6" s="2888" t="s">
        <v>3241</v>
      </c>
      <c r="QJP6" s="2888" t="s">
        <v>3241</v>
      </c>
      <c r="QJQ6" s="2888" t="s">
        <v>3241</v>
      </c>
      <c r="QJR6" s="2888" t="s">
        <v>3241</v>
      </c>
      <c r="QJS6" s="2888" t="s">
        <v>3241</v>
      </c>
      <c r="QJT6" s="2888" t="s">
        <v>3241</v>
      </c>
      <c r="QJU6" s="2888" t="s">
        <v>3241</v>
      </c>
      <c r="QJV6" s="2888" t="s">
        <v>3241</v>
      </c>
      <c r="QJW6" s="2888" t="s">
        <v>3241</v>
      </c>
      <c r="QJX6" s="2888" t="s">
        <v>3241</v>
      </c>
      <c r="QJY6" s="2888" t="s">
        <v>3241</v>
      </c>
      <c r="QJZ6" s="2888" t="s">
        <v>3241</v>
      </c>
      <c r="QKA6" s="2888" t="s">
        <v>3241</v>
      </c>
      <c r="QKB6" s="2888" t="s">
        <v>3241</v>
      </c>
      <c r="QKC6" s="2888" t="s">
        <v>3241</v>
      </c>
      <c r="QKD6" s="2888" t="s">
        <v>3241</v>
      </c>
      <c r="QKE6" s="2888" t="s">
        <v>3241</v>
      </c>
      <c r="QKF6" s="2888" t="s">
        <v>3241</v>
      </c>
      <c r="QKG6" s="2888" t="s">
        <v>3241</v>
      </c>
      <c r="QKH6" s="2888" t="s">
        <v>3241</v>
      </c>
      <c r="QKI6" s="2888" t="s">
        <v>3241</v>
      </c>
      <c r="QKJ6" s="2888" t="s">
        <v>3241</v>
      </c>
      <c r="QKK6" s="2888" t="s">
        <v>3241</v>
      </c>
      <c r="QKL6" s="2888" t="s">
        <v>3241</v>
      </c>
      <c r="QKM6" s="2888" t="s">
        <v>3241</v>
      </c>
      <c r="QKN6" s="2888" t="s">
        <v>3241</v>
      </c>
      <c r="QKO6" s="2888" t="s">
        <v>3241</v>
      </c>
      <c r="QKP6" s="2888" t="s">
        <v>3241</v>
      </c>
      <c r="QKQ6" s="2888" t="s">
        <v>3241</v>
      </c>
      <c r="QKR6" s="2888" t="s">
        <v>3241</v>
      </c>
      <c r="QKS6" s="2888" t="s">
        <v>3241</v>
      </c>
      <c r="QKT6" s="2888" t="s">
        <v>3241</v>
      </c>
      <c r="QKU6" s="2888" t="s">
        <v>3241</v>
      </c>
      <c r="QKV6" s="2888" t="s">
        <v>3241</v>
      </c>
      <c r="QKW6" s="2888" t="s">
        <v>3241</v>
      </c>
      <c r="QKX6" s="2888" t="s">
        <v>3241</v>
      </c>
      <c r="QKY6" s="2888" t="s">
        <v>3241</v>
      </c>
      <c r="QKZ6" s="2888" t="s">
        <v>3241</v>
      </c>
      <c r="QLA6" s="2888" t="s">
        <v>3241</v>
      </c>
      <c r="QLB6" s="2888" t="s">
        <v>3241</v>
      </c>
      <c r="QLC6" s="2888" t="s">
        <v>3241</v>
      </c>
      <c r="QLD6" s="2888" t="s">
        <v>3241</v>
      </c>
      <c r="QLE6" s="2888" t="s">
        <v>3241</v>
      </c>
      <c r="QLF6" s="2888" t="s">
        <v>3241</v>
      </c>
      <c r="QLG6" s="2888" t="s">
        <v>3241</v>
      </c>
      <c r="QLH6" s="2888" t="s">
        <v>3241</v>
      </c>
      <c r="QLI6" s="2888" t="s">
        <v>3241</v>
      </c>
      <c r="QLJ6" s="2888" t="s">
        <v>3241</v>
      </c>
      <c r="QLK6" s="2888" t="s">
        <v>3241</v>
      </c>
      <c r="QLL6" s="2888" t="s">
        <v>3241</v>
      </c>
      <c r="QLM6" s="2888" t="s">
        <v>3241</v>
      </c>
      <c r="QLN6" s="2888" t="s">
        <v>3241</v>
      </c>
      <c r="QLO6" s="2888" t="s">
        <v>3241</v>
      </c>
      <c r="QLP6" s="2888" t="s">
        <v>3241</v>
      </c>
      <c r="QLQ6" s="2888" t="s">
        <v>3241</v>
      </c>
      <c r="QLR6" s="2888" t="s">
        <v>3241</v>
      </c>
      <c r="QLS6" s="2888" t="s">
        <v>3241</v>
      </c>
      <c r="QLT6" s="2888" t="s">
        <v>3241</v>
      </c>
      <c r="QLU6" s="2888" t="s">
        <v>3241</v>
      </c>
      <c r="QLV6" s="2888" t="s">
        <v>3241</v>
      </c>
      <c r="QLW6" s="2888" t="s">
        <v>3241</v>
      </c>
      <c r="QLX6" s="2888" t="s">
        <v>3241</v>
      </c>
      <c r="QLY6" s="2888" t="s">
        <v>3241</v>
      </c>
      <c r="QLZ6" s="2888" t="s">
        <v>3241</v>
      </c>
      <c r="QMA6" s="2888" t="s">
        <v>3241</v>
      </c>
      <c r="QMB6" s="2888" t="s">
        <v>3241</v>
      </c>
      <c r="QMC6" s="2888" t="s">
        <v>3241</v>
      </c>
      <c r="QMD6" s="2888" t="s">
        <v>3241</v>
      </c>
      <c r="QME6" s="2888" t="s">
        <v>3241</v>
      </c>
      <c r="QMF6" s="2888" t="s">
        <v>3241</v>
      </c>
      <c r="QMG6" s="2888" t="s">
        <v>3241</v>
      </c>
      <c r="QMH6" s="2888" t="s">
        <v>3241</v>
      </c>
      <c r="QMI6" s="2888" t="s">
        <v>3241</v>
      </c>
      <c r="QMJ6" s="2888" t="s">
        <v>3241</v>
      </c>
      <c r="QMK6" s="2888" t="s">
        <v>3241</v>
      </c>
      <c r="QML6" s="2888" t="s">
        <v>3241</v>
      </c>
      <c r="QMM6" s="2888" t="s">
        <v>3241</v>
      </c>
      <c r="QMN6" s="2888" t="s">
        <v>3241</v>
      </c>
      <c r="QMO6" s="2888" t="s">
        <v>3241</v>
      </c>
      <c r="QMP6" s="2888" t="s">
        <v>3241</v>
      </c>
      <c r="QMQ6" s="2888" t="s">
        <v>3241</v>
      </c>
      <c r="QMR6" s="2888" t="s">
        <v>3241</v>
      </c>
      <c r="QMS6" s="2888" t="s">
        <v>3241</v>
      </c>
      <c r="QMT6" s="2888" t="s">
        <v>3241</v>
      </c>
      <c r="QMU6" s="2888" t="s">
        <v>3241</v>
      </c>
      <c r="QMV6" s="2888" t="s">
        <v>3241</v>
      </c>
      <c r="QMW6" s="2888" t="s">
        <v>3241</v>
      </c>
      <c r="QMX6" s="2888" t="s">
        <v>3241</v>
      </c>
      <c r="QMY6" s="2888" t="s">
        <v>3241</v>
      </c>
      <c r="QMZ6" s="2888" t="s">
        <v>3241</v>
      </c>
      <c r="QNA6" s="2888" t="s">
        <v>3241</v>
      </c>
      <c r="QNB6" s="2888" t="s">
        <v>3241</v>
      </c>
      <c r="QNC6" s="2888" t="s">
        <v>3241</v>
      </c>
      <c r="QND6" s="2888" t="s">
        <v>3241</v>
      </c>
      <c r="QNE6" s="2888" t="s">
        <v>3241</v>
      </c>
      <c r="QNF6" s="2888" t="s">
        <v>3241</v>
      </c>
      <c r="QNG6" s="2888" t="s">
        <v>3241</v>
      </c>
      <c r="QNH6" s="2888" t="s">
        <v>3241</v>
      </c>
      <c r="QNI6" s="2888" t="s">
        <v>3241</v>
      </c>
      <c r="QNJ6" s="2888" t="s">
        <v>3241</v>
      </c>
      <c r="QNK6" s="2888" t="s">
        <v>3241</v>
      </c>
      <c r="QNL6" s="2888" t="s">
        <v>3241</v>
      </c>
      <c r="QNM6" s="2888" t="s">
        <v>3241</v>
      </c>
      <c r="QNN6" s="2888" t="s">
        <v>3241</v>
      </c>
      <c r="QNO6" s="2888" t="s">
        <v>3241</v>
      </c>
      <c r="QNP6" s="2888" t="s">
        <v>3241</v>
      </c>
      <c r="QNQ6" s="2888" t="s">
        <v>3241</v>
      </c>
      <c r="QNR6" s="2888" t="s">
        <v>3241</v>
      </c>
      <c r="QNS6" s="2888" t="s">
        <v>3241</v>
      </c>
      <c r="QNT6" s="2888" t="s">
        <v>3241</v>
      </c>
      <c r="QNU6" s="2888" t="s">
        <v>3241</v>
      </c>
      <c r="QNV6" s="2888" t="s">
        <v>3241</v>
      </c>
      <c r="QNW6" s="2888" t="s">
        <v>3241</v>
      </c>
      <c r="QNX6" s="2888" t="s">
        <v>3241</v>
      </c>
      <c r="QNY6" s="2888" t="s">
        <v>3241</v>
      </c>
      <c r="QNZ6" s="2888" t="s">
        <v>3241</v>
      </c>
      <c r="QOA6" s="2888" t="s">
        <v>3241</v>
      </c>
      <c r="QOB6" s="2888" t="s">
        <v>3241</v>
      </c>
      <c r="QOC6" s="2888" t="s">
        <v>3241</v>
      </c>
      <c r="QOD6" s="2888" t="s">
        <v>3241</v>
      </c>
      <c r="QOE6" s="2888" t="s">
        <v>3241</v>
      </c>
      <c r="QOF6" s="2888" t="s">
        <v>3241</v>
      </c>
      <c r="QOG6" s="2888" t="s">
        <v>3241</v>
      </c>
      <c r="QOH6" s="2888" t="s">
        <v>3241</v>
      </c>
      <c r="QOI6" s="2888" t="s">
        <v>3241</v>
      </c>
      <c r="QOJ6" s="2888" t="s">
        <v>3241</v>
      </c>
      <c r="QOK6" s="2888" t="s">
        <v>3241</v>
      </c>
      <c r="QOL6" s="2888" t="s">
        <v>3241</v>
      </c>
      <c r="QOM6" s="2888" t="s">
        <v>3241</v>
      </c>
      <c r="QON6" s="2888" t="s">
        <v>3241</v>
      </c>
      <c r="QOO6" s="2888" t="s">
        <v>3241</v>
      </c>
      <c r="QOP6" s="2888" t="s">
        <v>3241</v>
      </c>
      <c r="QOQ6" s="2888" t="s">
        <v>3241</v>
      </c>
      <c r="QOR6" s="2888" t="s">
        <v>3241</v>
      </c>
      <c r="QOS6" s="2888" t="s">
        <v>3241</v>
      </c>
      <c r="QOT6" s="2888" t="s">
        <v>3241</v>
      </c>
      <c r="QOU6" s="2888" t="s">
        <v>3241</v>
      </c>
      <c r="QOV6" s="2888" t="s">
        <v>3241</v>
      </c>
      <c r="QOW6" s="2888" t="s">
        <v>3241</v>
      </c>
      <c r="QOX6" s="2888" t="s">
        <v>3241</v>
      </c>
      <c r="QOY6" s="2888" t="s">
        <v>3241</v>
      </c>
      <c r="QOZ6" s="2888" t="s">
        <v>3241</v>
      </c>
      <c r="QPA6" s="2888" t="s">
        <v>3241</v>
      </c>
      <c r="QPB6" s="2888" t="s">
        <v>3241</v>
      </c>
      <c r="QPC6" s="2888" t="s">
        <v>3241</v>
      </c>
      <c r="QPD6" s="2888" t="s">
        <v>3241</v>
      </c>
      <c r="QPE6" s="2888" t="s">
        <v>3241</v>
      </c>
      <c r="QPF6" s="2888" t="s">
        <v>3241</v>
      </c>
      <c r="QPG6" s="2888" t="s">
        <v>3241</v>
      </c>
      <c r="QPH6" s="2888" t="s">
        <v>3241</v>
      </c>
      <c r="QPI6" s="2888" t="s">
        <v>3241</v>
      </c>
      <c r="QPJ6" s="2888" t="s">
        <v>3241</v>
      </c>
      <c r="QPK6" s="2888" t="s">
        <v>3241</v>
      </c>
      <c r="QPL6" s="2888" t="s">
        <v>3241</v>
      </c>
      <c r="QPM6" s="2888" t="s">
        <v>3241</v>
      </c>
      <c r="QPN6" s="2888" t="s">
        <v>3241</v>
      </c>
      <c r="QPO6" s="2888" t="s">
        <v>3241</v>
      </c>
      <c r="QPP6" s="2888" t="s">
        <v>3241</v>
      </c>
      <c r="QPQ6" s="2888" t="s">
        <v>3241</v>
      </c>
      <c r="QPR6" s="2888" t="s">
        <v>3241</v>
      </c>
      <c r="QPS6" s="2888" t="s">
        <v>3241</v>
      </c>
      <c r="QPT6" s="2888" t="s">
        <v>3241</v>
      </c>
      <c r="QPU6" s="2888" t="s">
        <v>3241</v>
      </c>
      <c r="QPV6" s="2888" t="s">
        <v>3241</v>
      </c>
      <c r="QPW6" s="2888" t="s">
        <v>3241</v>
      </c>
      <c r="QPX6" s="2888" t="s">
        <v>3241</v>
      </c>
      <c r="QPY6" s="2888" t="s">
        <v>3241</v>
      </c>
      <c r="QPZ6" s="2888" t="s">
        <v>3241</v>
      </c>
      <c r="QQA6" s="2888" t="s">
        <v>3241</v>
      </c>
      <c r="QQB6" s="2888" t="s">
        <v>3241</v>
      </c>
      <c r="QQC6" s="2888" t="s">
        <v>3241</v>
      </c>
      <c r="QQD6" s="2888" t="s">
        <v>3241</v>
      </c>
      <c r="QQE6" s="2888" t="s">
        <v>3241</v>
      </c>
      <c r="QQF6" s="2888" t="s">
        <v>3241</v>
      </c>
      <c r="QQG6" s="2888" t="s">
        <v>3241</v>
      </c>
      <c r="QQH6" s="2888" t="s">
        <v>3241</v>
      </c>
      <c r="QQI6" s="2888" t="s">
        <v>3241</v>
      </c>
      <c r="QQJ6" s="2888" t="s">
        <v>3241</v>
      </c>
      <c r="QQK6" s="2888" t="s">
        <v>3241</v>
      </c>
      <c r="QQL6" s="2888" t="s">
        <v>3241</v>
      </c>
      <c r="QQM6" s="2888" t="s">
        <v>3241</v>
      </c>
      <c r="QQN6" s="2888" t="s">
        <v>3241</v>
      </c>
      <c r="QQO6" s="2888" t="s">
        <v>3241</v>
      </c>
      <c r="QQP6" s="2888" t="s">
        <v>3241</v>
      </c>
      <c r="QQQ6" s="2888" t="s">
        <v>3241</v>
      </c>
      <c r="QQR6" s="2888" t="s">
        <v>3241</v>
      </c>
      <c r="QQS6" s="2888" t="s">
        <v>3241</v>
      </c>
      <c r="QQT6" s="2888" t="s">
        <v>3241</v>
      </c>
      <c r="QQU6" s="2888" t="s">
        <v>3241</v>
      </c>
      <c r="QQV6" s="2888" t="s">
        <v>3241</v>
      </c>
      <c r="QQW6" s="2888" t="s">
        <v>3241</v>
      </c>
      <c r="QQX6" s="2888" t="s">
        <v>3241</v>
      </c>
      <c r="QQY6" s="2888" t="s">
        <v>3241</v>
      </c>
      <c r="QQZ6" s="2888" t="s">
        <v>3241</v>
      </c>
      <c r="QRA6" s="2888" t="s">
        <v>3241</v>
      </c>
      <c r="QRB6" s="2888" t="s">
        <v>3241</v>
      </c>
      <c r="QRC6" s="2888" t="s">
        <v>3241</v>
      </c>
      <c r="QRD6" s="2888" t="s">
        <v>3241</v>
      </c>
      <c r="QRE6" s="2888" t="s">
        <v>3241</v>
      </c>
      <c r="QRF6" s="2888" t="s">
        <v>3241</v>
      </c>
      <c r="QRG6" s="2888" t="s">
        <v>3241</v>
      </c>
      <c r="QRH6" s="2888" t="s">
        <v>3241</v>
      </c>
      <c r="QRI6" s="2888" t="s">
        <v>3241</v>
      </c>
      <c r="QRJ6" s="2888" t="s">
        <v>3241</v>
      </c>
      <c r="QRK6" s="2888" t="s">
        <v>3241</v>
      </c>
      <c r="QRL6" s="2888" t="s">
        <v>3241</v>
      </c>
      <c r="QRM6" s="2888" t="s">
        <v>3241</v>
      </c>
      <c r="QRN6" s="2888" t="s">
        <v>3241</v>
      </c>
      <c r="QRO6" s="2888" t="s">
        <v>3241</v>
      </c>
      <c r="QRP6" s="2888" t="s">
        <v>3241</v>
      </c>
      <c r="QRQ6" s="2888" t="s">
        <v>3241</v>
      </c>
      <c r="QRR6" s="2888" t="s">
        <v>3241</v>
      </c>
      <c r="QRS6" s="2888" t="s">
        <v>3241</v>
      </c>
      <c r="QRT6" s="2888" t="s">
        <v>3241</v>
      </c>
      <c r="QRU6" s="2888" t="s">
        <v>3241</v>
      </c>
      <c r="QRV6" s="2888" t="s">
        <v>3241</v>
      </c>
      <c r="QRW6" s="2888" t="s">
        <v>3241</v>
      </c>
      <c r="QRX6" s="2888" t="s">
        <v>3241</v>
      </c>
      <c r="QRY6" s="2888" t="s">
        <v>3241</v>
      </c>
      <c r="QRZ6" s="2888" t="s">
        <v>3241</v>
      </c>
      <c r="QSA6" s="2888" t="s">
        <v>3241</v>
      </c>
      <c r="QSB6" s="2888" t="s">
        <v>3241</v>
      </c>
      <c r="QSC6" s="2888" t="s">
        <v>3241</v>
      </c>
      <c r="QSD6" s="2888" t="s">
        <v>3241</v>
      </c>
      <c r="QSE6" s="2888" t="s">
        <v>3241</v>
      </c>
      <c r="QSF6" s="2888" t="s">
        <v>3241</v>
      </c>
      <c r="QSG6" s="2888" t="s">
        <v>3241</v>
      </c>
      <c r="QSH6" s="2888" t="s">
        <v>3241</v>
      </c>
      <c r="QSI6" s="2888" t="s">
        <v>3241</v>
      </c>
      <c r="QSJ6" s="2888" t="s">
        <v>3241</v>
      </c>
      <c r="QSK6" s="2888" t="s">
        <v>3241</v>
      </c>
      <c r="QSL6" s="2888" t="s">
        <v>3241</v>
      </c>
      <c r="QSM6" s="2888" t="s">
        <v>3241</v>
      </c>
      <c r="QSN6" s="2888" t="s">
        <v>3241</v>
      </c>
      <c r="QSO6" s="2888" t="s">
        <v>3241</v>
      </c>
      <c r="QSP6" s="2888" t="s">
        <v>3241</v>
      </c>
      <c r="QSQ6" s="2888" t="s">
        <v>3241</v>
      </c>
      <c r="QSR6" s="2888" t="s">
        <v>3241</v>
      </c>
      <c r="QSS6" s="2888" t="s">
        <v>3241</v>
      </c>
      <c r="QST6" s="2888" t="s">
        <v>3241</v>
      </c>
      <c r="QSU6" s="2888" t="s">
        <v>3241</v>
      </c>
      <c r="QSV6" s="2888" t="s">
        <v>3241</v>
      </c>
      <c r="QSW6" s="2888" t="s">
        <v>3241</v>
      </c>
      <c r="QSX6" s="2888" t="s">
        <v>3241</v>
      </c>
      <c r="QSY6" s="2888" t="s">
        <v>3241</v>
      </c>
      <c r="QSZ6" s="2888" t="s">
        <v>3241</v>
      </c>
      <c r="QTA6" s="2888" t="s">
        <v>3241</v>
      </c>
      <c r="QTB6" s="2888" t="s">
        <v>3241</v>
      </c>
      <c r="QTC6" s="2888" t="s">
        <v>3241</v>
      </c>
      <c r="QTD6" s="2888" t="s">
        <v>3241</v>
      </c>
      <c r="QTE6" s="2888" t="s">
        <v>3241</v>
      </c>
      <c r="QTF6" s="2888" t="s">
        <v>3241</v>
      </c>
      <c r="QTG6" s="2888" t="s">
        <v>3241</v>
      </c>
      <c r="QTH6" s="2888" t="s">
        <v>3241</v>
      </c>
      <c r="QTI6" s="2888" t="s">
        <v>3241</v>
      </c>
      <c r="QTJ6" s="2888" t="s">
        <v>3241</v>
      </c>
      <c r="QTK6" s="2888" t="s">
        <v>3241</v>
      </c>
      <c r="QTL6" s="2888" t="s">
        <v>3241</v>
      </c>
      <c r="QTM6" s="2888" t="s">
        <v>3241</v>
      </c>
      <c r="QTN6" s="2888" t="s">
        <v>3241</v>
      </c>
      <c r="QTO6" s="2888" t="s">
        <v>3241</v>
      </c>
      <c r="QTP6" s="2888" t="s">
        <v>3241</v>
      </c>
      <c r="QTQ6" s="2888" t="s">
        <v>3241</v>
      </c>
      <c r="QTR6" s="2888" t="s">
        <v>3241</v>
      </c>
      <c r="QTS6" s="2888" t="s">
        <v>3241</v>
      </c>
      <c r="QTT6" s="2888" t="s">
        <v>3241</v>
      </c>
      <c r="QTU6" s="2888" t="s">
        <v>3241</v>
      </c>
      <c r="QTV6" s="2888" t="s">
        <v>3241</v>
      </c>
      <c r="QTW6" s="2888" t="s">
        <v>3241</v>
      </c>
      <c r="QTX6" s="2888" t="s">
        <v>3241</v>
      </c>
      <c r="QTY6" s="2888" t="s">
        <v>3241</v>
      </c>
      <c r="QTZ6" s="2888" t="s">
        <v>3241</v>
      </c>
      <c r="QUA6" s="2888" t="s">
        <v>3241</v>
      </c>
      <c r="QUB6" s="2888" t="s">
        <v>3241</v>
      </c>
      <c r="QUC6" s="2888" t="s">
        <v>3241</v>
      </c>
      <c r="QUD6" s="2888" t="s">
        <v>3241</v>
      </c>
      <c r="QUE6" s="2888" t="s">
        <v>3241</v>
      </c>
      <c r="QUF6" s="2888" t="s">
        <v>3241</v>
      </c>
      <c r="QUG6" s="2888" t="s">
        <v>3241</v>
      </c>
      <c r="QUH6" s="2888" t="s">
        <v>3241</v>
      </c>
      <c r="QUI6" s="2888" t="s">
        <v>3241</v>
      </c>
      <c r="QUJ6" s="2888" t="s">
        <v>3241</v>
      </c>
      <c r="QUK6" s="2888" t="s">
        <v>3241</v>
      </c>
      <c r="QUL6" s="2888" t="s">
        <v>3241</v>
      </c>
      <c r="QUM6" s="2888" t="s">
        <v>3241</v>
      </c>
      <c r="QUN6" s="2888" t="s">
        <v>3241</v>
      </c>
      <c r="QUO6" s="2888" t="s">
        <v>3241</v>
      </c>
      <c r="QUP6" s="2888" t="s">
        <v>3241</v>
      </c>
      <c r="QUQ6" s="2888" t="s">
        <v>3241</v>
      </c>
      <c r="QUR6" s="2888" t="s">
        <v>3241</v>
      </c>
      <c r="QUS6" s="2888" t="s">
        <v>3241</v>
      </c>
      <c r="QUT6" s="2888" t="s">
        <v>3241</v>
      </c>
      <c r="QUU6" s="2888" t="s">
        <v>3241</v>
      </c>
      <c r="QUV6" s="2888" t="s">
        <v>3241</v>
      </c>
      <c r="QUW6" s="2888" t="s">
        <v>3241</v>
      </c>
      <c r="QUX6" s="2888" t="s">
        <v>3241</v>
      </c>
      <c r="QUY6" s="2888" t="s">
        <v>3241</v>
      </c>
      <c r="QUZ6" s="2888" t="s">
        <v>3241</v>
      </c>
      <c r="QVA6" s="2888" t="s">
        <v>3241</v>
      </c>
      <c r="QVB6" s="2888" t="s">
        <v>3241</v>
      </c>
      <c r="QVC6" s="2888" t="s">
        <v>3241</v>
      </c>
      <c r="QVD6" s="2888" t="s">
        <v>3241</v>
      </c>
      <c r="QVE6" s="2888" t="s">
        <v>3241</v>
      </c>
      <c r="QVF6" s="2888" t="s">
        <v>3241</v>
      </c>
      <c r="QVG6" s="2888" t="s">
        <v>3241</v>
      </c>
      <c r="QVH6" s="2888" t="s">
        <v>3241</v>
      </c>
      <c r="QVI6" s="2888" t="s">
        <v>3241</v>
      </c>
      <c r="QVJ6" s="2888" t="s">
        <v>3241</v>
      </c>
      <c r="QVK6" s="2888" t="s">
        <v>3241</v>
      </c>
      <c r="QVL6" s="2888" t="s">
        <v>3241</v>
      </c>
      <c r="QVM6" s="2888" t="s">
        <v>3241</v>
      </c>
      <c r="QVN6" s="2888" t="s">
        <v>3241</v>
      </c>
      <c r="QVO6" s="2888" t="s">
        <v>3241</v>
      </c>
      <c r="QVP6" s="2888" t="s">
        <v>3241</v>
      </c>
      <c r="QVQ6" s="2888" t="s">
        <v>3241</v>
      </c>
      <c r="QVR6" s="2888" t="s">
        <v>3241</v>
      </c>
      <c r="QVS6" s="2888" t="s">
        <v>3241</v>
      </c>
      <c r="QVT6" s="2888" t="s">
        <v>3241</v>
      </c>
      <c r="QVU6" s="2888" t="s">
        <v>3241</v>
      </c>
      <c r="QVV6" s="2888" t="s">
        <v>3241</v>
      </c>
      <c r="QVW6" s="2888" t="s">
        <v>3241</v>
      </c>
      <c r="QVX6" s="2888" t="s">
        <v>3241</v>
      </c>
      <c r="QVY6" s="2888" t="s">
        <v>3241</v>
      </c>
      <c r="QVZ6" s="2888" t="s">
        <v>3241</v>
      </c>
      <c r="QWA6" s="2888" t="s">
        <v>3241</v>
      </c>
      <c r="QWB6" s="2888" t="s">
        <v>3241</v>
      </c>
      <c r="QWC6" s="2888" t="s">
        <v>3241</v>
      </c>
      <c r="QWD6" s="2888" t="s">
        <v>3241</v>
      </c>
      <c r="QWE6" s="2888" t="s">
        <v>3241</v>
      </c>
      <c r="QWF6" s="2888" t="s">
        <v>3241</v>
      </c>
      <c r="QWG6" s="2888" t="s">
        <v>3241</v>
      </c>
      <c r="QWH6" s="2888" t="s">
        <v>3241</v>
      </c>
      <c r="QWI6" s="2888" t="s">
        <v>3241</v>
      </c>
      <c r="QWJ6" s="2888" t="s">
        <v>3241</v>
      </c>
      <c r="QWK6" s="2888" t="s">
        <v>3241</v>
      </c>
      <c r="QWL6" s="2888" t="s">
        <v>3241</v>
      </c>
      <c r="QWM6" s="2888" t="s">
        <v>3241</v>
      </c>
      <c r="QWN6" s="2888" t="s">
        <v>3241</v>
      </c>
      <c r="QWO6" s="2888" t="s">
        <v>3241</v>
      </c>
      <c r="QWP6" s="2888" t="s">
        <v>3241</v>
      </c>
      <c r="QWQ6" s="2888" t="s">
        <v>3241</v>
      </c>
      <c r="QWR6" s="2888" t="s">
        <v>3241</v>
      </c>
      <c r="QWS6" s="2888" t="s">
        <v>3241</v>
      </c>
      <c r="QWT6" s="2888" t="s">
        <v>3241</v>
      </c>
      <c r="QWU6" s="2888" t="s">
        <v>3241</v>
      </c>
      <c r="QWV6" s="2888" t="s">
        <v>3241</v>
      </c>
      <c r="QWW6" s="2888" t="s">
        <v>3241</v>
      </c>
      <c r="QWX6" s="2888" t="s">
        <v>3241</v>
      </c>
      <c r="QWY6" s="2888" t="s">
        <v>3241</v>
      </c>
      <c r="QWZ6" s="2888" t="s">
        <v>3241</v>
      </c>
      <c r="QXA6" s="2888" t="s">
        <v>3241</v>
      </c>
      <c r="QXB6" s="2888" t="s">
        <v>3241</v>
      </c>
      <c r="QXC6" s="2888" t="s">
        <v>3241</v>
      </c>
      <c r="QXD6" s="2888" t="s">
        <v>3241</v>
      </c>
      <c r="QXE6" s="2888" t="s">
        <v>3241</v>
      </c>
      <c r="QXF6" s="2888" t="s">
        <v>3241</v>
      </c>
      <c r="QXG6" s="2888" t="s">
        <v>3241</v>
      </c>
      <c r="QXH6" s="2888" t="s">
        <v>3241</v>
      </c>
      <c r="QXI6" s="2888" t="s">
        <v>3241</v>
      </c>
      <c r="QXJ6" s="2888" t="s">
        <v>3241</v>
      </c>
      <c r="QXK6" s="2888" t="s">
        <v>3241</v>
      </c>
      <c r="QXL6" s="2888" t="s">
        <v>3241</v>
      </c>
      <c r="QXM6" s="2888" t="s">
        <v>3241</v>
      </c>
      <c r="QXN6" s="2888" t="s">
        <v>3241</v>
      </c>
      <c r="QXO6" s="2888" t="s">
        <v>3241</v>
      </c>
      <c r="QXP6" s="2888" t="s">
        <v>3241</v>
      </c>
      <c r="QXQ6" s="2888" t="s">
        <v>3241</v>
      </c>
      <c r="QXR6" s="2888" t="s">
        <v>3241</v>
      </c>
      <c r="QXS6" s="2888" t="s">
        <v>3241</v>
      </c>
      <c r="QXT6" s="2888" t="s">
        <v>3241</v>
      </c>
      <c r="QXU6" s="2888" t="s">
        <v>3241</v>
      </c>
      <c r="QXV6" s="2888" t="s">
        <v>3241</v>
      </c>
      <c r="QXW6" s="2888" t="s">
        <v>3241</v>
      </c>
      <c r="QXX6" s="2888" t="s">
        <v>3241</v>
      </c>
      <c r="QXY6" s="2888" t="s">
        <v>3241</v>
      </c>
      <c r="QXZ6" s="2888" t="s">
        <v>3241</v>
      </c>
      <c r="QYA6" s="2888" t="s">
        <v>3241</v>
      </c>
      <c r="QYB6" s="2888" t="s">
        <v>3241</v>
      </c>
      <c r="QYC6" s="2888" t="s">
        <v>3241</v>
      </c>
      <c r="QYD6" s="2888" t="s">
        <v>3241</v>
      </c>
      <c r="QYE6" s="2888" t="s">
        <v>3241</v>
      </c>
      <c r="QYF6" s="2888" t="s">
        <v>3241</v>
      </c>
      <c r="QYG6" s="2888" t="s">
        <v>3241</v>
      </c>
      <c r="QYH6" s="2888" t="s">
        <v>3241</v>
      </c>
      <c r="QYI6" s="2888" t="s">
        <v>3241</v>
      </c>
      <c r="QYJ6" s="2888" t="s">
        <v>3241</v>
      </c>
      <c r="QYK6" s="2888" t="s">
        <v>3241</v>
      </c>
      <c r="QYL6" s="2888" t="s">
        <v>3241</v>
      </c>
      <c r="QYM6" s="2888" t="s">
        <v>3241</v>
      </c>
      <c r="QYN6" s="2888" t="s">
        <v>3241</v>
      </c>
      <c r="QYO6" s="2888" t="s">
        <v>3241</v>
      </c>
      <c r="QYP6" s="2888" t="s">
        <v>3241</v>
      </c>
      <c r="QYQ6" s="2888" t="s">
        <v>3241</v>
      </c>
      <c r="QYR6" s="2888" t="s">
        <v>3241</v>
      </c>
      <c r="QYS6" s="2888" t="s">
        <v>3241</v>
      </c>
      <c r="QYT6" s="2888" t="s">
        <v>3241</v>
      </c>
      <c r="QYU6" s="2888" t="s">
        <v>3241</v>
      </c>
      <c r="QYV6" s="2888" t="s">
        <v>3241</v>
      </c>
      <c r="QYW6" s="2888" t="s">
        <v>3241</v>
      </c>
      <c r="QYX6" s="2888" t="s">
        <v>3241</v>
      </c>
      <c r="QYY6" s="2888" t="s">
        <v>3241</v>
      </c>
      <c r="QYZ6" s="2888" t="s">
        <v>3241</v>
      </c>
      <c r="QZA6" s="2888" t="s">
        <v>3241</v>
      </c>
      <c r="QZB6" s="2888" t="s">
        <v>3241</v>
      </c>
      <c r="QZC6" s="2888" t="s">
        <v>3241</v>
      </c>
      <c r="QZD6" s="2888" t="s">
        <v>3241</v>
      </c>
      <c r="QZE6" s="2888" t="s">
        <v>3241</v>
      </c>
      <c r="QZF6" s="2888" t="s">
        <v>3241</v>
      </c>
      <c r="QZG6" s="2888" t="s">
        <v>3241</v>
      </c>
      <c r="QZH6" s="2888" t="s">
        <v>3241</v>
      </c>
      <c r="QZI6" s="2888" t="s">
        <v>3241</v>
      </c>
      <c r="QZJ6" s="2888" t="s">
        <v>3241</v>
      </c>
      <c r="QZK6" s="2888" t="s">
        <v>3241</v>
      </c>
      <c r="QZL6" s="2888" t="s">
        <v>3241</v>
      </c>
      <c r="QZM6" s="2888" t="s">
        <v>3241</v>
      </c>
      <c r="QZN6" s="2888" t="s">
        <v>3241</v>
      </c>
      <c r="QZO6" s="2888" t="s">
        <v>3241</v>
      </c>
      <c r="QZP6" s="2888" t="s">
        <v>3241</v>
      </c>
      <c r="QZQ6" s="2888" t="s">
        <v>3241</v>
      </c>
      <c r="QZR6" s="2888" t="s">
        <v>3241</v>
      </c>
      <c r="QZS6" s="2888" t="s">
        <v>3241</v>
      </c>
      <c r="QZT6" s="2888" t="s">
        <v>3241</v>
      </c>
      <c r="QZU6" s="2888" t="s">
        <v>3241</v>
      </c>
      <c r="QZV6" s="2888" t="s">
        <v>3241</v>
      </c>
      <c r="QZW6" s="2888" t="s">
        <v>3241</v>
      </c>
      <c r="QZX6" s="2888" t="s">
        <v>3241</v>
      </c>
      <c r="QZY6" s="2888" t="s">
        <v>3241</v>
      </c>
      <c r="QZZ6" s="2888" t="s">
        <v>3241</v>
      </c>
      <c r="RAA6" s="2888" t="s">
        <v>3241</v>
      </c>
      <c r="RAB6" s="2888" t="s">
        <v>3241</v>
      </c>
      <c r="RAC6" s="2888" t="s">
        <v>3241</v>
      </c>
      <c r="RAD6" s="2888" t="s">
        <v>3241</v>
      </c>
      <c r="RAE6" s="2888" t="s">
        <v>3241</v>
      </c>
      <c r="RAF6" s="2888" t="s">
        <v>3241</v>
      </c>
      <c r="RAG6" s="2888" t="s">
        <v>3241</v>
      </c>
      <c r="RAH6" s="2888" t="s">
        <v>3241</v>
      </c>
      <c r="RAI6" s="2888" t="s">
        <v>3241</v>
      </c>
      <c r="RAJ6" s="2888" t="s">
        <v>3241</v>
      </c>
      <c r="RAK6" s="2888" t="s">
        <v>3241</v>
      </c>
      <c r="RAL6" s="2888" t="s">
        <v>3241</v>
      </c>
      <c r="RAM6" s="2888" t="s">
        <v>3241</v>
      </c>
      <c r="RAN6" s="2888" t="s">
        <v>3241</v>
      </c>
      <c r="RAO6" s="2888" t="s">
        <v>3241</v>
      </c>
      <c r="RAP6" s="2888" t="s">
        <v>3241</v>
      </c>
      <c r="RAQ6" s="2888" t="s">
        <v>3241</v>
      </c>
      <c r="RAR6" s="2888" t="s">
        <v>3241</v>
      </c>
      <c r="RAS6" s="2888" t="s">
        <v>3241</v>
      </c>
      <c r="RAT6" s="2888" t="s">
        <v>3241</v>
      </c>
      <c r="RAU6" s="2888" t="s">
        <v>3241</v>
      </c>
      <c r="RAV6" s="2888" t="s">
        <v>3241</v>
      </c>
      <c r="RAW6" s="2888" t="s">
        <v>3241</v>
      </c>
      <c r="RAX6" s="2888" t="s">
        <v>3241</v>
      </c>
      <c r="RAY6" s="2888" t="s">
        <v>3241</v>
      </c>
      <c r="RAZ6" s="2888" t="s">
        <v>3241</v>
      </c>
      <c r="RBA6" s="2888" t="s">
        <v>3241</v>
      </c>
      <c r="RBB6" s="2888" t="s">
        <v>3241</v>
      </c>
      <c r="RBC6" s="2888" t="s">
        <v>3241</v>
      </c>
      <c r="RBD6" s="2888" t="s">
        <v>3241</v>
      </c>
      <c r="RBE6" s="2888" t="s">
        <v>3241</v>
      </c>
      <c r="RBF6" s="2888" t="s">
        <v>3241</v>
      </c>
      <c r="RBG6" s="2888" t="s">
        <v>3241</v>
      </c>
      <c r="RBH6" s="2888" t="s">
        <v>3241</v>
      </c>
      <c r="RBI6" s="2888" t="s">
        <v>3241</v>
      </c>
      <c r="RBJ6" s="2888" t="s">
        <v>3241</v>
      </c>
      <c r="RBK6" s="2888" t="s">
        <v>3241</v>
      </c>
      <c r="RBL6" s="2888" t="s">
        <v>3241</v>
      </c>
      <c r="RBM6" s="2888" t="s">
        <v>3241</v>
      </c>
      <c r="RBN6" s="2888" t="s">
        <v>3241</v>
      </c>
      <c r="RBO6" s="2888" t="s">
        <v>3241</v>
      </c>
      <c r="RBP6" s="2888" t="s">
        <v>3241</v>
      </c>
      <c r="RBQ6" s="2888" t="s">
        <v>3241</v>
      </c>
      <c r="RBR6" s="2888" t="s">
        <v>3241</v>
      </c>
      <c r="RBS6" s="2888" t="s">
        <v>3241</v>
      </c>
      <c r="RBT6" s="2888" t="s">
        <v>3241</v>
      </c>
      <c r="RBU6" s="2888" t="s">
        <v>3241</v>
      </c>
      <c r="RBV6" s="2888" t="s">
        <v>3241</v>
      </c>
      <c r="RBW6" s="2888" t="s">
        <v>3241</v>
      </c>
      <c r="RBX6" s="2888" t="s">
        <v>3241</v>
      </c>
      <c r="RBY6" s="2888" t="s">
        <v>3241</v>
      </c>
      <c r="RBZ6" s="2888" t="s">
        <v>3241</v>
      </c>
      <c r="RCA6" s="2888" t="s">
        <v>3241</v>
      </c>
      <c r="RCB6" s="2888" t="s">
        <v>3241</v>
      </c>
      <c r="RCC6" s="2888" t="s">
        <v>3241</v>
      </c>
      <c r="RCD6" s="2888" t="s">
        <v>3241</v>
      </c>
      <c r="RCE6" s="2888" t="s">
        <v>3241</v>
      </c>
      <c r="RCF6" s="2888" t="s">
        <v>3241</v>
      </c>
      <c r="RCG6" s="2888" t="s">
        <v>3241</v>
      </c>
      <c r="RCH6" s="2888" t="s">
        <v>3241</v>
      </c>
      <c r="RCI6" s="2888" t="s">
        <v>3241</v>
      </c>
      <c r="RCJ6" s="2888" t="s">
        <v>3241</v>
      </c>
      <c r="RCK6" s="2888" t="s">
        <v>3241</v>
      </c>
      <c r="RCL6" s="2888" t="s">
        <v>3241</v>
      </c>
      <c r="RCM6" s="2888" t="s">
        <v>3241</v>
      </c>
      <c r="RCN6" s="2888" t="s">
        <v>3241</v>
      </c>
      <c r="RCO6" s="2888" t="s">
        <v>3241</v>
      </c>
      <c r="RCP6" s="2888" t="s">
        <v>3241</v>
      </c>
      <c r="RCQ6" s="2888" t="s">
        <v>3241</v>
      </c>
      <c r="RCR6" s="2888" t="s">
        <v>3241</v>
      </c>
      <c r="RCS6" s="2888" t="s">
        <v>3241</v>
      </c>
      <c r="RCT6" s="2888" t="s">
        <v>3241</v>
      </c>
      <c r="RCU6" s="2888" t="s">
        <v>3241</v>
      </c>
      <c r="RCV6" s="2888" t="s">
        <v>3241</v>
      </c>
      <c r="RCW6" s="2888" t="s">
        <v>3241</v>
      </c>
      <c r="RCX6" s="2888" t="s">
        <v>3241</v>
      </c>
      <c r="RCY6" s="2888" t="s">
        <v>3241</v>
      </c>
      <c r="RCZ6" s="2888" t="s">
        <v>3241</v>
      </c>
      <c r="RDA6" s="2888" t="s">
        <v>3241</v>
      </c>
      <c r="RDB6" s="2888" t="s">
        <v>3241</v>
      </c>
      <c r="RDC6" s="2888" t="s">
        <v>3241</v>
      </c>
      <c r="RDD6" s="2888" t="s">
        <v>3241</v>
      </c>
      <c r="RDE6" s="2888" t="s">
        <v>3241</v>
      </c>
      <c r="RDF6" s="2888" t="s">
        <v>3241</v>
      </c>
      <c r="RDG6" s="2888" t="s">
        <v>3241</v>
      </c>
      <c r="RDH6" s="2888" t="s">
        <v>3241</v>
      </c>
      <c r="RDI6" s="2888" t="s">
        <v>3241</v>
      </c>
      <c r="RDJ6" s="2888" t="s">
        <v>3241</v>
      </c>
      <c r="RDK6" s="2888" t="s">
        <v>3241</v>
      </c>
      <c r="RDL6" s="2888" t="s">
        <v>3241</v>
      </c>
      <c r="RDM6" s="2888" t="s">
        <v>3241</v>
      </c>
      <c r="RDN6" s="2888" t="s">
        <v>3241</v>
      </c>
      <c r="RDO6" s="2888" t="s">
        <v>3241</v>
      </c>
      <c r="RDP6" s="2888" t="s">
        <v>3241</v>
      </c>
      <c r="RDQ6" s="2888" t="s">
        <v>3241</v>
      </c>
      <c r="RDR6" s="2888" t="s">
        <v>3241</v>
      </c>
      <c r="RDS6" s="2888" t="s">
        <v>3241</v>
      </c>
      <c r="RDT6" s="2888" t="s">
        <v>3241</v>
      </c>
      <c r="RDU6" s="2888" t="s">
        <v>3241</v>
      </c>
      <c r="RDV6" s="2888" t="s">
        <v>3241</v>
      </c>
      <c r="RDW6" s="2888" t="s">
        <v>3241</v>
      </c>
      <c r="RDX6" s="2888" t="s">
        <v>3241</v>
      </c>
      <c r="RDY6" s="2888" t="s">
        <v>3241</v>
      </c>
      <c r="RDZ6" s="2888" t="s">
        <v>3241</v>
      </c>
      <c r="REA6" s="2888" t="s">
        <v>3241</v>
      </c>
      <c r="REB6" s="2888" t="s">
        <v>3241</v>
      </c>
      <c r="REC6" s="2888" t="s">
        <v>3241</v>
      </c>
      <c r="RED6" s="2888" t="s">
        <v>3241</v>
      </c>
      <c r="REE6" s="2888" t="s">
        <v>3241</v>
      </c>
      <c r="REF6" s="2888" t="s">
        <v>3241</v>
      </c>
      <c r="REG6" s="2888" t="s">
        <v>3241</v>
      </c>
      <c r="REH6" s="2888" t="s">
        <v>3241</v>
      </c>
      <c r="REI6" s="2888" t="s">
        <v>3241</v>
      </c>
      <c r="REJ6" s="2888" t="s">
        <v>3241</v>
      </c>
      <c r="REK6" s="2888" t="s">
        <v>3241</v>
      </c>
      <c r="REL6" s="2888" t="s">
        <v>3241</v>
      </c>
      <c r="REM6" s="2888" t="s">
        <v>3241</v>
      </c>
      <c r="REN6" s="2888" t="s">
        <v>3241</v>
      </c>
      <c r="REO6" s="2888" t="s">
        <v>3241</v>
      </c>
      <c r="REP6" s="2888" t="s">
        <v>3241</v>
      </c>
      <c r="REQ6" s="2888" t="s">
        <v>3241</v>
      </c>
      <c r="RER6" s="2888" t="s">
        <v>3241</v>
      </c>
      <c r="RES6" s="2888" t="s">
        <v>3241</v>
      </c>
      <c r="RET6" s="2888" t="s">
        <v>3241</v>
      </c>
      <c r="REU6" s="2888" t="s">
        <v>3241</v>
      </c>
      <c r="REV6" s="2888" t="s">
        <v>3241</v>
      </c>
      <c r="REW6" s="2888" t="s">
        <v>3241</v>
      </c>
      <c r="REX6" s="2888" t="s">
        <v>3241</v>
      </c>
      <c r="REY6" s="2888" t="s">
        <v>3241</v>
      </c>
      <c r="REZ6" s="2888" t="s">
        <v>3241</v>
      </c>
      <c r="RFA6" s="2888" t="s">
        <v>3241</v>
      </c>
      <c r="RFB6" s="2888" t="s">
        <v>3241</v>
      </c>
      <c r="RFC6" s="2888" t="s">
        <v>3241</v>
      </c>
      <c r="RFD6" s="2888" t="s">
        <v>3241</v>
      </c>
      <c r="RFE6" s="2888" t="s">
        <v>3241</v>
      </c>
      <c r="RFF6" s="2888" t="s">
        <v>3241</v>
      </c>
      <c r="RFG6" s="2888" t="s">
        <v>3241</v>
      </c>
      <c r="RFH6" s="2888" t="s">
        <v>3241</v>
      </c>
      <c r="RFI6" s="2888" t="s">
        <v>3241</v>
      </c>
      <c r="RFJ6" s="2888" t="s">
        <v>3241</v>
      </c>
      <c r="RFK6" s="2888" t="s">
        <v>3241</v>
      </c>
      <c r="RFL6" s="2888" t="s">
        <v>3241</v>
      </c>
      <c r="RFM6" s="2888" t="s">
        <v>3241</v>
      </c>
      <c r="RFN6" s="2888" t="s">
        <v>3241</v>
      </c>
      <c r="RFO6" s="2888" t="s">
        <v>3241</v>
      </c>
      <c r="RFP6" s="2888" t="s">
        <v>3241</v>
      </c>
      <c r="RFQ6" s="2888" t="s">
        <v>3241</v>
      </c>
      <c r="RFR6" s="2888" t="s">
        <v>3241</v>
      </c>
      <c r="RFS6" s="2888" t="s">
        <v>3241</v>
      </c>
      <c r="RFT6" s="2888" t="s">
        <v>3241</v>
      </c>
      <c r="RFU6" s="2888" t="s">
        <v>3241</v>
      </c>
      <c r="RFV6" s="2888" t="s">
        <v>3241</v>
      </c>
      <c r="RFW6" s="2888" t="s">
        <v>3241</v>
      </c>
      <c r="RFX6" s="2888" t="s">
        <v>3241</v>
      </c>
      <c r="RFY6" s="2888" t="s">
        <v>3241</v>
      </c>
      <c r="RFZ6" s="2888" t="s">
        <v>3241</v>
      </c>
      <c r="RGA6" s="2888" t="s">
        <v>3241</v>
      </c>
      <c r="RGB6" s="2888" t="s">
        <v>3241</v>
      </c>
      <c r="RGC6" s="2888" t="s">
        <v>3241</v>
      </c>
      <c r="RGD6" s="2888" t="s">
        <v>3241</v>
      </c>
      <c r="RGE6" s="2888" t="s">
        <v>3241</v>
      </c>
      <c r="RGF6" s="2888" t="s">
        <v>3241</v>
      </c>
      <c r="RGG6" s="2888" t="s">
        <v>3241</v>
      </c>
      <c r="RGH6" s="2888" t="s">
        <v>3241</v>
      </c>
      <c r="RGI6" s="2888" t="s">
        <v>3241</v>
      </c>
      <c r="RGJ6" s="2888" t="s">
        <v>3241</v>
      </c>
      <c r="RGK6" s="2888" t="s">
        <v>3241</v>
      </c>
      <c r="RGL6" s="2888" t="s">
        <v>3241</v>
      </c>
      <c r="RGM6" s="2888" t="s">
        <v>3241</v>
      </c>
      <c r="RGN6" s="2888" t="s">
        <v>3241</v>
      </c>
      <c r="RGO6" s="2888" t="s">
        <v>3241</v>
      </c>
      <c r="RGP6" s="2888" t="s">
        <v>3241</v>
      </c>
      <c r="RGQ6" s="2888" t="s">
        <v>3241</v>
      </c>
      <c r="RGR6" s="2888" t="s">
        <v>3241</v>
      </c>
      <c r="RGS6" s="2888" t="s">
        <v>3241</v>
      </c>
      <c r="RGT6" s="2888" t="s">
        <v>3241</v>
      </c>
      <c r="RGU6" s="2888" t="s">
        <v>3241</v>
      </c>
      <c r="RGV6" s="2888" t="s">
        <v>3241</v>
      </c>
      <c r="RGW6" s="2888" t="s">
        <v>3241</v>
      </c>
      <c r="RGX6" s="2888" t="s">
        <v>3241</v>
      </c>
      <c r="RGY6" s="2888" t="s">
        <v>3241</v>
      </c>
      <c r="RGZ6" s="2888" t="s">
        <v>3241</v>
      </c>
      <c r="RHA6" s="2888" t="s">
        <v>3241</v>
      </c>
      <c r="RHB6" s="2888" t="s">
        <v>3241</v>
      </c>
      <c r="RHC6" s="2888" t="s">
        <v>3241</v>
      </c>
      <c r="RHD6" s="2888" t="s">
        <v>3241</v>
      </c>
      <c r="RHE6" s="2888" t="s">
        <v>3241</v>
      </c>
      <c r="RHF6" s="2888" t="s">
        <v>3241</v>
      </c>
      <c r="RHG6" s="2888" t="s">
        <v>3241</v>
      </c>
      <c r="RHH6" s="2888" t="s">
        <v>3241</v>
      </c>
      <c r="RHI6" s="2888" t="s">
        <v>3241</v>
      </c>
      <c r="RHJ6" s="2888" t="s">
        <v>3241</v>
      </c>
      <c r="RHK6" s="2888" t="s">
        <v>3241</v>
      </c>
      <c r="RHL6" s="2888" t="s">
        <v>3241</v>
      </c>
      <c r="RHM6" s="2888" t="s">
        <v>3241</v>
      </c>
      <c r="RHN6" s="2888" t="s">
        <v>3241</v>
      </c>
      <c r="RHO6" s="2888" t="s">
        <v>3241</v>
      </c>
      <c r="RHP6" s="2888" t="s">
        <v>3241</v>
      </c>
      <c r="RHQ6" s="2888" t="s">
        <v>3241</v>
      </c>
      <c r="RHR6" s="2888" t="s">
        <v>3241</v>
      </c>
      <c r="RHS6" s="2888" t="s">
        <v>3241</v>
      </c>
      <c r="RHT6" s="2888" t="s">
        <v>3241</v>
      </c>
      <c r="RHU6" s="2888" t="s">
        <v>3241</v>
      </c>
      <c r="RHV6" s="2888" t="s">
        <v>3241</v>
      </c>
      <c r="RHW6" s="2888" t="s">
        <v>3241</v>
      </c>
      <c r="RHX6" s="2888" t="s">
        <v>3241</v>
      </c>
      <c r="RHY6" s="2888" t="s">
        <v>3241</v>
      </c>
      <c r="RHZ6" s="2888" t="s">
        <v>3241</v>
      </c>
      <c r="RIA6" s="2888" t="s">
        <v>3241</v>
      </c>
      <c r="RIB6" s="2888" t="s">
        <v>3241</v>
      </c>
      <c r="RIC6" s="2888" t="s">
        <v>3241</v>
      </c>
      <c r="RID6" s="2888" t="s">
        <v>3241</v>
      </c>
      <c r="RIE6" s="2888" t="s">
        <v>3241</v>
      </c>
      <c r="RIF6" s="2888" t="s">
        <v>3241</v>
      </c>
      <c r="RIG6" s="2888" t="s">
        <v>3241</v>
      </c>
      <c r="RIH6" s="2888" t="s">
        <v>3241</v>
      </c>
      <c r="RII6" s="2888" t="s">
        <v>3241</v>
      </c>
      <c r="RIJ6" s="2888" t="s">
        <v>3241</v>
      </c>
      <c r="RIK6" s="2888" t="s">
        <v>3241</v>
      </c>
      <c r="RIL6" s="2888" t="s">
        <v>3241</v>
      </c>
      <c r="RIM6" s="2888" t="s">
        <v>3241</v>
      </c>
      <c r="RIN6" s="2888" t="s">
        <v>3241</v>
      </c>
      <c r="RIO6" s="2888" t="s">
        <v>3241</v>
      </c>
      <c r="RIP6" s="2888" t="s">
        <v>3241</v>
      </c>
      <c r="RIQ6" s="2888" t="s">
        <v>3241</v>
      </c>
      <c r="RIR6" s="2888" t="s">
        <v>3241</v>
      </c>
      <c r="RIS6" s="2888" t="s">
        <v>3241</v>
      </c>
      <c r="RIT6" s="2888" t="s">
        <v>3241</v>
      </c>
      <c r="RIU6" s="2888" t="s">
        <v>3241</v>
      </c>
      <c r="RIV6" s="2888" t="s">
        <v>3241</v>
      </c>
      <c r="RIW6" s="2888" t="s">
        <v>3241</v>
      </c>
      <c r="RIX6" s="2888" t="s">
        <v>3241</v>
      </c>
      <c r="RIY6" s="2888" t="s">
        <v>3241</v>
      </c>
      <c r="RIZ6" s="2888" t="s">
        <v>3241</v>
      </c>
      <c r="RJA6" s="2888" t="s">
        <v>3241</v>
      </c>
      <c r="RJB6" s="2888" t="s">
        <v>3241</v>
      </c>
      <c r="RJC6" s="2888" t="s">
        <v>3241</v>
      </c>
      <c r="RJD6" s="2888" t="s">
        <v>3241</v>
      </c>
      <c r="RJE6" s="2888" t="s">
        <v>3241</v>
      </c>
      <c r="RJF6" s="2888" t="s">
        <v>3241</v>
      </c>
      <c r="RJG6" s="2888" t="s">
        <v>3241</v>
      </c>
      <c r="RJH6" s="2888" t="s">
        <v>3241</v>
      </c>
      <c r="RJI6" s="2888" t="s">
        <v>3241</v>
      </c>
      <c r="RJJ6" s="2888" t="s">
        <v>3241</v>
      </c>
      <c r="RJK6" s="2888" t="s">
        <v>3241</v>
      </c>
      <c r="RJL6" s="2888" t="s">
        <v>3241</v>
      </c>
      <c r="RJM6" s="2888" t="s">
        <v>3241</v>
      </c>
      <c r="RJN6" s="2888" t="s">
        <v>3241</v>
      </c>
      <c r="RJO6" s="2888" t="s">
        <v>3241</v>
      </c>
      <c r="RJP6" s="2888" t="s">
        <v>3241</v>
      </c>
      <c r="RJQ6" s="2888" t="s">
        <v>3241</v>
      </c>
      <c r="RJR6" s="2888" t="s">
        <v>3241</v>
      </c>
      <c r="RJS6" s="2888" t="s">
        <v>3241</v>
      </c>
      <c r="RJT6" s="2888" t="s">
        <v>3241</v>
      </c>
      <c r="RJU6" s="2888" t="s">
        <v>3241</v>
      </c>
      <c r="RJV6" s="2888" t="s">
        <v>3241</v>
      </c>
      <c r="RJW6" s="2888" t="s">
        <v>3241</v>
      </c>
      <c r="RJX6" s="2888" t="s">
        <v>3241</v>
      </c>
      <c r="RJY6" s="2888" t="s">
        <v>3241</v>
      </c>
      <c r="RJZ6" s="2888" t="s">
        <v>3241</v>
      </c>
      <c r="RKA6" s="2888" t="s">
        <v>3241</v>
      </c>
      <c r="RKB6" s="2888" t="s">
        <v>3241</v>
      </c>
      <c r="RKC6" s="2888" t="s">
        <v>3241</v>
      </c>
      <c r="RKD6" s="2888" t="s">
        <v>3241</v>
      </c>
      <c r="RKE6" s="2888" t="s">
        <v>3241</v>
      </c>
      <c r="RKF6" s="2888" t="s">
        <v>3241</v>
      </c>
      <c r="RKG6" s="2888" t="s">
        <v>3241</v>
      </c>
      <c r="RKH6" s="2888" t="s">
        <v>3241</v>
      </c>
      <c r="RKI6" s="2888" t="s">
        <v>3241</v>
      </c>
      <c r="RKJ6" s="2888" t="s">
        <v>3241</v>
      </c>
      <c r="RKK6" s="2888" t="s">
        <v>3241</v>
      </c>
      <c r="RKL6" s="2888" t="s">
        <v>3241</v>
      </c>
      <c r="RKM6" s="2888" t="s">
        <v>3241</v>
      </c>
      <c r="RKN6" s="2888" t="s">
        <v>3241</v>
      </c>
      <c r="RKO6" s="2888" t="s">
        <v>3241</v>
      </c>
      <c r="RKP6" s="2888" t="s">
        <v>3241</v>
      </c>
      <c r="RKQ6" s="2888" t="s">
        <v>3241</v>
      </c>
      <c r="RKR6" s="2888" t="s">
        <v>3241</v>
      </c>
      <c r="RKS6" s="2888" t="s">
        <v>3241</v>
      </c>
      <c r="RKT6" s="2888" t="s">
        <v>3241</v>
      </c>
      <c r="RKU6" s="2888" t="s">
        <v>3241</v>
      </c>
      <c r="RKV6" s="2888" t="s">
        <v>3241</v>
      </c>
      <c r="RKW6" s="2888" t="s">
        <v>3241</v>
      </c>
      <c r="RKX6" s="2888" t="s">
        <v>3241</v>
      </c>
      <c r="RKY6" s="2888" t="s">
        <v>3241</v>
      </c>
      <c r="RKZ6" s="2888" t="s">
        <v>3241</v>
      </c>
      <c r="RLA6" s="2888" t="s">
        <v>3241</v>
      </c>
      <c r="RLB6" s="2888" t="s">
        <v>3241</v>
      </c>
      <c r="RLC6" s="2888" t="s">
        <v>3241</v>
      </c>
      <c r="RLD6" s="2888" t="s">
        <v>3241</v>
      </c>
      <c r="RLE6" s="2888" t="s">
        <v>3241</v>
      </c>
      <c r="RLF6" s="2888" t="s">
        <v>3241</v>
      </c>
      <c r="RLG6" s="2888" t="s">
        <v>3241</v>
      </c>
      <c r="RLH6" s="2888" t="s">
        <v>3241</v>
      </c>
      <c r="RLI6" s="2888" t="s">
        <v>3241</v>
      </c>
      <c r="RLJ6" s="2888" t="s">
        <v>3241</v>
      </c>
      <c r="RLK6" s="2888" t="s">
        <v>3241</v>
      </c>
      <c r="RLL6" s="2888" t="s">
        <v>3241</v>
      </c>
      <c r="RLM6" s="2888" t="s">
        <v>3241</v>
      </c>
      <c r="RLN6" s="2888" t="s">
        <v>3241</v>
      </c>
      <c r="RLO6" s="2888" t="s">
        <v>3241</v>
      </c>
      <c r="RLP6" s="2888" t="s">
        <v>3241</v>
      </c>
      <c r="RLQ6" s="2888" t="s">
        <v>3241</v>
      </c>
      <c r="RLR6" s="2888" t="s">
        <v>3241</v>
      </c>
      <c r="RLS6" s="2888" t="s">
        <v>3241</v>
      </c>
      <c r="RLT6" s="2888" t="s">
        <v>3241</v>
      </c>
      <c r="RLU6" s="2888" t="s">
        <v>3241</v>
      </c>
      <c r="RLV6" s="2888" t="s">
        <v>3241</v>
      </c>
      <c r="RLW6" s="2888" t="s">
        <v>3241</v>
      </c>
      <c r="RLX6" s="2888" t="s">
        <v>3241</v>
      </c>
      <c r="RLY6" s="2888" t="s">
        <v>3241</v>
      </c>
      <c r="RLZ6" s="2888" t="s">
        <v>3241</v>
      </c>
      <c r="RMA6" s="2888" t="s">
        <v>3241</v>
      </c>
      <c r="RMB6" s="2888" t="s">
        <v>3241</v>
      </c>
      <c r="RMC6" s="2888" t="s">
        <v>3241</v>
      </c>
      <c r="RMD6" s="2888" t="s">
        <v>3241</v>
      </c>
      <c r="RME6" s="2888" t="s">
        <v>3241</v>
      </c>
      <c r="RMF6" s="2888" t="s">
        <v>3241</v>
      </c>
      <c r="RMG6" s="2888" t="s">
        <v>3241</v>
      </c>
      <c r="RMH6" s="2888" t="s">
        <v>3241</v>
      </c>
      <c r="RMI6" s="2888" t="s">
        <v>3241</v>
      </c>
      <c r="RMJ6" s="2888" t="s">
        <v>3241</v>
      </c>
      <c r="RMK6" s="2888" t="s">
        <v>3241</v>
      </c>
      <c r="RML6" s="2888" t="s">
        <v>3241</v>
      </c>
      <c r="RMM6" s="2888" t="s">
        <v>3241</v>
      </c>
      <c r="RMN6" s="2888" t="s">
        <v>3241</v>
      </c>
      <c r="RMO6" s="2888" t="s">
        <v>3241</v>
      </c>
      <c r="RMP6" s="2888" t="s">
        <v>3241</v>
      </c>
      <c r="RMQ6" s="2888" t="s">
        <v>3241</v>
      </c>
      <c r="RMR6" s="2888" t="s">
        <v>3241</v>
      </c>
      <c r="RMS6" s="2888" t="s">
        <v>3241</v>
      </c>
      <c r="RMT6" s="2888" t="s">
        <v>3241</v>
      </c>
      <c r="RMU6" s="2888" t="s">
        <v>3241</v>
      </c>
      <c r="RMV6" s="2888" t="s">
        <v>3241</v>
      </c>
      <c r="RMW6" s="2888" t="s">
        <v>3241</v>
      </c>
      <c r="RMX6" s="2888" t="s">
        <v>3241</v>
      </c>
      <c r="RMY6" s="2888" t="s">
        <v>3241</v>
      </c>
      <c r="RMZ6" s="2888" t="s">
        <v>3241</v>
      </c>
      <c r="RNA6" s="2888" t="s">
        <v>3241</v>
      </c>
      <c r="RNB6" s="2888" t="s">
        <v>3241</v>
      </c>
      <c r="RNC6" s="2888" t="s">
        <v>3241</v>
      </c>
      <c r="RND6" s="2888" t="s">
        <v>3241</v>
      </c>
      <c r="RNE6" s="2888" t="s">
        <v>3241</v>
      </c>
      <c r="RNF6" s="2888" t="s">
        <v>3241</v>
      </c>
      <c r="RNG6" s="2888" t="s">
        <v>3241</v>
      </c>
      <c r="RNH6" s="2888" t="s">
        <v>3241</v>
      </c>
      <c r="RNI6" s="2888" t="s">
        <v>3241</v>
      </c>
      <c r="RNJ6" s="2888" t="s">
        <v>3241</v>
      </c>
      <c r="RNK6" s="2888" t="s">
        <v>3241</v>
      </c>
      <c r="RNL6" s="2888" t="s">
        <v>3241</v>
      </c>
      <c r="RNM6" s="2888" t="s">
        <v>3241</v>
      </c>
      <c r="RNN6" s="2888" t="s">
        <v>3241</v>
      </c>
      <c r="RNO6" s="2888" t="s">
        <v>3241</v>
      </c>
      <c r="RNP6" s="2888" t="s">
        <v>3241</v>
      </c>
      <c r="RNQ6" s="2888" t="s">
        <v>3241</v>
      </c>
      <c r="RNR6" s="2888" t="s">
        <v>3241</v>
      </c>
      <c r="RNS6" s="2888" t="s">
        <v>3241</v>
      </c>
      <c r="RNT6" s="2888" t="s">
        <v>3241</v>
      </c>
      <c r="RNU6" s="2888" t="s">
        <v>3241</v>
      </c>
      <c r="RNV6" s="2888" t="s">
        <v>3241</v>
      </c>
      <c r="RNW6" s="2888" t="s">
        <v>3241</v>
      </c>
      <c r="RNX6" s="2888" t="s">
        <v>3241</v>
      </c>
      <c r="RNY6" s="2888" t="s">
        <v>3241</v>
      </c>
      <c r="RNZ6" s="2888" t="s">
        <v>3241</v>
      </c>
      <c r="ROA6" s="2888" t="s">
        <v>3241</v>
      </c>
      <c r="ROB6" s="2888" t="s">
        <v>3241</v>
      </c>
      <c r="ROC6" s="2888" t="s">
        <v>3241</v>
      </c>
      <c r="ROD6" s="2888" t="s">
        <v>3241</v>
      </c>
      <c r="ROE6" s="2888" t="s">
        <v>3241</v>
      </c>
      <c r="ROF6" s="2888" t="s">
        <v>3241</v>
      </c>
      <c r="ROG6" s="2888" t="s">
        <v>3241</v>
      </c>
      <c r="ROH6" s="2888" t="s">
        <v>3241</v>
      </c>
      <c r="ROI6" s="2888" t="s">
        <v>3241</v>
      </c>
      <c r="ROJ6" s="2888" t="s">
        <v>3241</v>
      </c>
      <c r="ROK6" s="2888" t="s">
        <v>3241</v>
      </c>
      <c r="ROL6" s="2888" t="s">
        <v>3241</v>
      </c>
      <c r="ROM6" s="2888" t="s">
        <v>3241</v>
      </c>
      <c r="RON6" s="2888" t="s">
        <v>3241</v>
      </c>
      <c r="ROO6" s="2888" t="s">
        <v>3241</v>
      </c>
      <c r="ROP6" s="2888" t="s">
        <v>3241</v>
      </c>
      <c r="ROQ6" s="2888" t="s">
        <v>3241</v>
      </c>
      <c r="ROR6" s="2888" t="s">
        <v>3241</v>
      </c>
      <c r="ROS6" s="2888" t="s">
        <v>3241</v>
      </c>
      <c r="ROT6" s="2888" t="s">
        <v>3241</v>
      </c>
      <c r="ROU6" s="2888" t="s">
        <v>3241</v>
      </c>
      <c r="ROV6" s="2888" t="s">
        <v>3241</v>
      </c>
      <c r="ROW6" s="2888" t="s">
        <v>3241</v>
      </c>
      <c r="ROX6" s="2888" t="s">
        <v>3241</v>
      </c>
      <c r="ROY6" s="2888" t="s">
        <v>3241</v>
      </c>
      <c r="ROZ6" s="2888" t="s">
        <v>3241</v>
      </c>
      <c r="RPA6" s="2888" t="s">
        <v>3241</v>
      </c>
      <c r="RPB6" s="2888" t="s">
        <v>3241</v>
      </c>
      <c r="RPC6" s="2888" t="s">
        <v>3241</v>
      </c>
      <c r="RPD6" s="2888" t="s">
        <v>3241</v>
      </c>
      <c r="RPE6" s="2888" t="s">
        <v>3241</v>
      </c>
      <c r="RPF6" s="2888" t="s">
        <v>3241</v>
      </c>
      <c r="RPG6" s="2888" t="s">
        <v>3241</v>
      </c>
      <c r="RPH6" s="2888" t="s">
        <v>3241</v>
      </c>
      <c r="RPI6" s="2888" t="s">
        <v>3241</v>
      </c>
      <c r="RPJ6" s="2888" t="s">
        <v>3241</v>
      </c>
      <c r="RPK6" s="2888" t="s">
        <v>3241</v>
      </c>
      <c r="RPL6" s="2888" t="s">
        <v>3241</v>
      </c>
      <c r="RPM6" s="2888" t="s">
        <v>3241</v>
      </c>
      <c r="RPN6" s="2888" t="s">
        <v>3241</v>
      </c>
      <c r="RPO6" s="2888" t="s">
        <v>3241</v>
      </c>
      <c r="RPP6" s="2888" t="s">
        <v>3241</v>
      </c>
      <c r="RPQ6" s="2888" t="s">
        <v>3241</v>
      </c>
      <c r="RPR6" s="2888" t="s">
        <v>3241</v>
      </c>
      <c r="RPS6" s="2888" t="s">
        <v>3241</v>
      </c>
      <c r="RPT6" s="2888" t="s">
        <v>3241</v>
      </c>
      <c r="RPU6" s="2888" t="s">
        <v>3241</v>
      </c>
      <c r="RPV6" s="2888" t="s">
        <v>3241</v>
      </c>
      <c r="RPW6" s="2888" t="s">
        <v>3241</v>
      </c>
      <c r="RPX6" s="2888" t="s">
        <v>3241</v>
      </c>
      <c r="RPY6" s="2888" t="s">
        <v>3241</v>
      </c>
      <c r="RPZ6" s="2888" t="s">
        <v>3241</v>
      </c>
      <c r="RQA6" s="2888" t="s">
        <v>3241</v>
      </c>
      <c r="RQB6" s="2888" t="s">
        <v>3241</v>
      </c>
      <c r="RQC6" s="2888" t="s">
        <v>3241</v>
      </c>
      <c r="RQD6" s="2888" t="s">
        <v>3241</v>
      </c>
      <c r="RQE6" s="2888" t="s">
        <v>3241</v>
      </c>
      <c r="RQF6" s="2888" t="s">
        <v>3241</v>
      </c>
      <c r="RQG6" s="2888" t="s">
        <v>3241</v>
      </c>
      <c r="RQH6" s="2888" t="s">
        <v>3241</v>
      </c>
      <c r="RQI6" s="2888" t="s">
        <v>3241</v>
      </c>
      <c r="RQJ6" s="2888" t="s">
        <v>3241</v>
      </c>
      <c r="RQK6" s="2888" t="s">
        <v>3241</v>
      </c>
      <c r="RQL6" s="2888" t="s">
        <v>3241</v>
      </c>
      <c r="RQM6" s="2888" t="s">
        <v>3241</v>
      </c>
      <c r="RQN6" s="2888" t="s">
        <v>3241</v>
      </c>
      <c r="RQO6" s="2888" t="s">
        <v>3241</v>
      </c>
      <c r="RQP6" s="2888" t="s">
        <v>3241</v>
      </c>
      <c r="RQQ6" s="2888" t="s">
        <v>3241</v>
      </c>
      <c r="RQR6" s="2888" t="s">
        <v>3241</v>
      </c>
      <c r="RQS6" s="2888" t="s">
        <v>3241</v>
      </c>
      <c r="RQT6" s="2888" t="s">
        <v>3241</v>
      </c>
      <c r="RQU6" s="2888" t="s">
        <v>3241</v>
      </c>
      <c r="RQV6" s="2888" t="s">
        <v>3241</v>
      </c>
      <c r="RQW6" s="2888" t="s">
        <v>3241</v>
      </c>
      <c r="RQX6" s="2888" t="s">
        <v>3241</v>
      </c>
      <c r="RQY6" s="2888" t="s">
        <v>3241</v>
      </c>
      <c r="RQZ6" s="2888" t="s">
        <v>3241</v>
      </c>
      <c r="RRA6" s="2888" t="s">
        <v>3241</v>
      </c>
      <c r="RRB6" s="2888" t="s">
        <v>3241</v>
      </c>
      <c r="RRC6" s="2888" t="s">
        <v>3241</v>
      </c>
      <c r="RRD6" s="2888" t="s">
        <v>3241</v>
      </c>
      <c r="RRE6" s="2888" t="s">
        <v>3241</v>
      </c>
      <c r="RRF6" s="2888" t="s">
        <v>3241</v>
      </c>
      <c r="RRG6" s="2888" t="s">
        <v>3241</v>
      </c>
      <c r="RRH6" s="2888" t="s">
        <v>3241</v>
      </c>
      <c r="RRI6" s="2888" t="s">
        <v>3241</v>
      </c>
      <c r="RRJ6" s="2888" t="s">
        <v>3241</v>
      </c>
      <c r="RRK6" s="2888" t="s">
        <v>3241</v>
      </c>
      <c r="RRL6" s="2888" t="s">
        <v>3241</v>
      </c>
      <c r="RRM6" s="2888" t="s">
        <v>3241</v>
      </c>
      <c r="RRN6" s="2888" t="s">
        <v>3241</v>
      </c>
      <c r="RRO6" s="2888" t="s">
        <v>3241</v>
      </c>
      <c r="RRP6" s="2888" t="s">
        <v>3241</v>
      </c>
      <c r="RRQ6" s="2888" t="s">
        <v>3241</v>
      </c>
      <c r="RRR6" s="2888" t="s">
        <v>3241</v>
      </c>
      <c r="RRS6" s="2888" t="s">
        <v>3241</v>
      </c>
      <c r="RRT6" s="2888" t="s">
        <v>3241</v>
      </c>
      <c r="RRU6" s="2888" t="s">
        <v>3241</v>
      </c>
      <c r="RRV6" s="2888" t="s">
        <v>3241</v>
      </c>
      <c r="RRW6" s="2888" t="s">
        <v>3241</v>
      </c>
      <c r="RRX6" s="2888" t="s">
        <v>3241</v>
      </c>
      <c r="RRY6" s="2888" t="s">
        <v>3241</v>
      </c>
      <c r="RRZ6" s="2888" t="s">
        <v>3241</v>
      </c>
      <c r="RSA6" s="2888" t="s">
        <v>3241</v>
      </c>
      <c r="RSB6" s="2888" t="s">
        <v>3241</v>
      </c>
      <c r="RSC6" s="2888" t="s">
        <v>3241</v>
      </c>
      <c r="RSD6" s="2888" t="s">
        <v>3241</v>
      </c>
      <c r="RSE6" s="2888" t="s">
        <v>3241</v>
      </c>
      <c r="RSF6" s="2888" t="s">
        <v>3241</v>
      </c>
      <c r="RSG6" s="2888" t="s">
        <v>3241</v>
      </c>
      <c r="RSH6" s="2888" t="s">
        <v>3241</v>
      </c>
      <c r="RSI6" s="2888" t="s">
        <v>3241</v>
      </c>
      <c r="RSJ6" s="2888" t="s">
        <v>3241</v>
      </c>
      <c r="RSK6" s="2888" t="s">
        <v>3241</v>
      </c>
      <c r="RSL6" s="2888" t="s">
        <v>3241</v>
      </c>
      <c r="RSM6" s="2888" t="s">
        <v>3241</v>
      </c>
      <c r="RSN6" s="2888" t="s">
        <v>3241</v>
      </c>
      <c r="RSO6" s="2888" t="s">
        <v>3241</v>
      </c>
      <c r="RSP6" s="2888" t="s">
        <v>3241</v>
      </c>
      <c r="RSQ6" s="2888" t="s">
        <v>3241</v>
      </c>
      <c r="RSR6" s="2888" t="s">
        <v>3241</v>
      </c>
      <c r="RSS6" s="2888" t="s">
        <v>3241</v>
      </c>
      <c r="RST6" s="2888" t="s">
        <v>3241</v>
      </c>
      <c r="RSU6" s="2888" t="s">
        <v>3241</v>
      </c>
      <c r="RSV6" s="2888" t="s">
        <v>3241</v>
      </c>
      <c r="RSW6" s="2888" t="s">
        <v>3241</v>
      </c>
      <c r="RSX6" s="2888" t="s">
        <v>3241</v>
      </c>
      <c r="RSY6" s="2888" t="s">
        <v>3241</v>
      </c>
      <c r="RSZ6" s="2888" t="s">
        <v>3241</v>
      </c>
      <c r="RTA6" s="2888" t="s">
        <v>3241</v>
      </c>
      <c r="RTB6" s="2888" t="s">
        <v>3241</v>
      </c>
      <c r="RTC6" s="2888" t="s">
        <v>3241</v>
      </c>
      <c r="RTD6" s="2888" t="s">
        <v>3241</v>
      </c>
      <c r="RTE6" s="2888" t="s">
        <v>3241</v>
      </c>
      <c r="RTF6" s="2888" t="s">
        <v>3241</v>
      </c>
      <c r="RTG6" s="2888" t="s">
        <v>3241</v>
      </c>
      <c r="RTH6" s="2888" t="s">
        <v>3241</v>
      </c>
      <c r="RTI6" s="2888" t="s">
        <v>3241</v>
      </c>
      <c r="RTJ6" s="2888" t="s">
        <v>3241</v>
      </c>
      <c r="RTK6" s="2888" t="s">
        <v>3241</v>
      </c>
      <c r="RTL6" s="2888" t="s">
        <v>3241</v>
      </c>
      <c r="RTM6" s="2888" t="s">
        <v>3241</v>
      </c>
      <c r="RTN6" s="2888" t="s">
        <v>3241</v>
      </c>
      <c r="RTO6" s="2888" t="s">
        <v>3241</v>
      </c>
      <c r="RTP6" s="2888" t="s">
        <v>3241</v>
      </c>
      <c r="RTQ6" s="2888" t="s">
        <v>3241</v>
      </c>
      <c r="RTR6" s="2888" t="s">
        <v>3241</v>
      </c>
      <c r="RTS6" s="2888" t="s">
        <v>3241</v>
      </c>
      <c r="RTT6" s="2888" t="s">
        <v>3241</v>
      </c>
      <c r="RTU6" s="2888" t="s">
        <v>3241</v>
      </c>
      <c r="RTV6" s="2888" t="s">
        <v>3241</v>
      </c>
      <c r="RTW6" s="2888" t="s">
        <v>3241</v>
      </c>
      <c r="RTX6" s="2888" t="s">
        <v>3241</v>
      </c>
      <c r="RTY6" s="2888" t="s">
        <v>3241</v>
      </c>
      <c r="RTZ6" s="2888" t="s">
        <v>3241</v>
      </c>
      <c r="RUA6" s="2888" t="s">
        <v>3241</v>
      </c>
      <c r="RUB6" s="2888" t="s">
        <v>3241</v>
      </c>
      <c r="RUC6" s="2888" t="s">
        <v>3241</v>
      </c>
      <c r="RUD6" s="2888" t="s">
        <v>3241</v>
      </c>
      <c r="RUE6" s="2888" t="s">
        <v>3241</v>
      </c>
      <c r="RUF6" s="2888" t="s">
        <v>3241</v>
      </c>
      <c r="RUG6" s="2888" t="s">
        <v>3241</v>
      </c>
      <c r="RUH6" s="2888" t="s">
        <v>3241</v>
      </c>
      <c r="RUI6" s="2888" t="s">
        <v>3241</v>
      </c>
      <c r="RUJ6" s="2888" t="s">
        <v>3241</v>
      </c>
      <c r="RUK6" s="2888" t="s">
        <v>3241</v>
      </c>
      <c r="RUL6" s="2888" t="s">
        <v>3241</v>
      </c>
      <c r="RUM6" s="2888" t="s">
        <v>3241</v>
      </c>
      <c r="RUN6" s="2888" t="s">
        <v>3241</v>
      </c>
      <c r="RUO6" s="2888" t="s">
        <v>3241</v>
      </c>
      <c r="RUP6" s="2888" t="s">
        <v>3241</v>
      </c>
      <c r="RUQ6" s="2888" t="s">
        <v>3241</v>
      </c>
      <c r="RUR6" s="2888" t="s">
        <v>3241</v>
      </c>
      <c r="RUS6" s="2888" t="s">
        <v>3241</v>
      </c>
      <c r="RUT6" s="2888" t="s">
        <v>3241</v>
      </c>
      <c r="RUU6" s="2888" t="s">
        <v>3241</v>
      </c>
      <c r="RUV6" s="2888" t="s">
        <v>3241</v>
      </c>
      <c r="RUW6" s="2888" t="s">
        <v>3241</v>
      </c>
      <c r="RUX6" s="2888" t="s">
        <v>3241</v>
      </c>
      <c r="RUY6" s="2888" t="s">
        <v>3241</v>
      </c>
      <c r="RUZ6" s="2888" t="s">
        <v>3241</v>
      </c>
      <c r="RVA6" s="2888" t="s">
        <v>3241</v>
      </c>
      <c r="RVB6" s="2888" t="s">
        <v>3241</v>
      </c>
      <c r="RVC6" s="2888" t="s">
        <v>3241</v>
      </c>
      <c r="RVD6" s="2888" t="s">
        <v>3241</v>
      </c>
      <c r="RVE6" s="2888" t="s">
        <v>3241</v>
      </c>
      <c r="RVF6" s="2888" t="s">
        <v>3241</v>
      </c>
      <c r="RVG6" s="2888" t="s">
        <v>3241</v>
      </c>
      <c r="RVH6" s="2888" t="s">
        <v>3241</v>
      </c>
      <c r="RVI6" s="2888" t="s">
        <v>3241</v>
      </c>
      <c r="RVJ6" s="2888" t="s">
        <v>3241</v>
      </c>
      <c r="RVK6" s="2888" t="s">
        <v>3241</v>
      </c>
      <c r="RVL6" s="2888" t="s">
        <v>3241</v>
      </c>
      <c r="RVM6" s="2888" t="s">
        <v>3241</v>
      </c>
      <c r="RVN6" s="2888" t="s">
        <v>3241</v>
      </c>
      <c r="RVO6" s="2888" t="s">
        <v>3241</v>
      </c>
      <c r="RVP6" s="2888" t="s">
        <v>3241</v>
      </c>
      <c r="RVQ6" s="2888" t="s">
        <v>3241</v>
      </c>
      <c r="RVR6" s="2888" t="s">
        <v>3241</v>
      </c>
      <c r="RVS6" s="2888" t="s">
        <v>3241</v>
      </c>
      <c r="RVT6" s="2888" t="s">
        <v>3241</v>
      </c>
      <c r="RVU6" s="2888" t="s">
        <v>3241</v>
      </c>
      <c r="RVV6" s="2888" t="s">
        <v>3241</v>
      </c>
      <c r="RVW6" s="2888" t="s">
        <v>3241</v>
      </c>
      <c r="RVX6" s="2888" t="s">
        <v>3241</v>
      </c>
      <c r="RVY6" s="2888" t="s">
        <v>3241</v>
      </c>
      <c r="RVZ6" s="2888" t="s">
        <v>3241</v>
      </c>
      <c r="RWA6" s="2888" t="s">
        <v>3241</v>
      </c>
      <c r="RWB6" s="2888" t="s">
        <v>3241</v>
      </c>
      <c r="RWC6" s="2888" t="s">
        <v>3241</v>
      </c>
      <c r="RWD6" s="2888" t="s">
        <v>3241</v>
      </c>
      <c r="RWE6" s="2888" t="s">
        <v>3241</v>
      </c>
      <c r="RWF6" s="2888" t="s">
        <v>3241</v>
      </c>
      <c r="RWG6" s="2888" t="s">
        <v>3241</v>
      </c>
      <c r="RWH6" s="2888" t="s">
        <v>3241</v>
      </c>
      <c r="RWI6" s="2888" t="s">
        <v>3241</v>
      </c>
      <c r="RWJ6" s="2888" t="s">
        <v>3241</v>
      </c>
      <c r="RWK6" s="2888" t="s">
        <v>3241</v>
      </c>
      <c r="RWL6" s="2888" t="s">
        <v>3241</v>
      </c>
      <c r="RWM6" s="2888" t="s">
        <v>3241</v>
      </c>
      <c r="RWN6" s="2888" t="s">
        <v>3241</v>
      </c>
      <c r="RWO6" s="2888" t="s">
        <v>3241</v>
      </c>
      <c r="RWP6" s="2888" t="s">
        <v>3241</v>
      </c>
      <c r="RWQ6" s="2888" t="s">
        <v>3241</v>
      </c>
      <c r="RWR6" s="2888" t="s">
        <v>3241</v>
      </c>
      <c r="RWS6" s="2888" t="s">
        <v>3241</v>
      </c>
      <c r="RWT6" s="2888" t="s">
        <v>3241</v>
      </c>
      <c r="RWU6" s="2888" t="s">
        <v>3241</v>
      </c>
      <c r="RWV6" s="2888" t="s">
        <v>3241</v>
      </c>
      <c r="RWW6" s="2888" t="s">
        <v>3241</v>
      </c>
      <c r="RWX6" s="2888" t="s">
        <v>3241</v>
      </c>
      <c r="RWY6" s="2888" t="s">
        <v>3241</v>
      </c>
      <c r="RWZ6" s="2888" t="s">
        <v>3241</v>
      </c>
      <c r="RXA6" s="2888" t="s">
        <v>3241</v>
      </c>
      <c r="RXB6" s="2888" t="s">
        <v>3241</v>
      </c>
      <c r="RXC6" s="2888" t="s">
        <v>3241</v>
      </c>
      <c r="RXD6" s="2888" t="s">
        <v>3241</v>
      </c>
      <c r="RXE6" s="2888" t="s">
        <v>3241</v>
      </c>
      <c r="RXF6" s="2888" t="s">
        <v>3241</v>
      </c>
      <c r="RXG6" s="2888" t="s">
        <v>3241</v>
      </c>
      <c r="RXH6" s="2888" t="s">
        <v>3241</v>
      </c>
      <c r="RXI6" s="2888" t="s">
        <v>3241</v>
      </c>
      <c r="RXJ6" s="2888" t="s">
        <v>3241</v>
      </c>
      <c r="RXK6" s="2888" t="s">
        <v>3241</v>
      </c>
      <c r="RXL6" s="2888" t="s">
        <v>3241</v>
      </c>
      <c r="RXM6" s="2888" t="s">
        <v>3241</v>
      </c>
      <c r="RXN6" s="2888" t="s">
        <v>3241</v>
      </c>
      <c r="RXO6" s="2888" t="s">
        <v>3241</v>
      </c>
      <c r="RXP6" s="2888" t="s">
        <v>3241</v>
      </c>
      <c r="RXQ6" s="2888" t="s">
        <v>3241</v>
      </c>
      <c r="RXR6" s="2888" t="s">
        <v>3241</v>
      </c>
      <c r="RXS6" s="2888" t="s">
        <v>3241</v>
      </c>
      <c r="RXT6" s="2888" t="s">
        <v>3241</v>
      </c>
      <c r="RXU6" s="2888" t="s">
        <v>3241</v>
      </c>
      <c r="RXV6" s="2888" t="s">
        <v>3241</v>
      </c>
      <c r="RXW6" s="2888" t="s">
        <v>3241</v>
      </c>
      <c r="RXX6" s="2888" t="s">
        <v>3241</v>
      </c>
      <c r="RXY6" s="2888" t="s">
        <v>3241</v>
      </c>
      <c r="RXZ6" s="2888" t="s">
        <v>3241</v>
      </c>
      <c r="RYA6" s="2888" t="s">
        <v>3241</v>
      </c>
      <c r="RYB6" s="2888" t="s">
        <v>3241</v>
      </c>
      <c r="RYC6" s="2888" t="s">
        <v>3241</v>
      </c>
      <c r="RYD6" s="2888" t="s">
        <v>3241</v>
      </c>
      <c r="RYE6" s="2888" t="s">
        <v>3241</v>
      </c>
      <c r="RYF6" s="2888" t="s">
        <v>3241</v>
      </c>
      <c r="RYG6" s="2888" t="s">
        <v>3241</v>
      </c>
      <c r="RYH6" s="2888" t="s">
        <v>3241</v>
      </c>
      <c r="RYI6" s="2888" t="s">
        <v>3241</v>
      </c>
      <c r="RYJ6" s="2888" t="s">
        <v>3241</v>
      </c>
      <c r="RYK6" s="2888" t="s">
        <v>3241</v>
      </c>
      <c r="RYL6" s="2888" t="s">
        <v>3241</v>
      </c>
      <c r="RYM6" s="2888" t="s">
        <v>3241</v>
      </c>
      <c r="RYN6" s="2888" t="s">
        <v>3241</v>
      </c>
      <c r="RYO6" s="2888" t="s">
        <v>3241</v>
      </c>
      <c r="RYP6" s="2888" t="s">
        <v>3241</v>
      </c>
      <c r="RYQ6" s="2888" t="s">
        <v>3241</v>
      </c>
      <c r="RYR6" s="2888" t="s">
        <v>3241</v>
      </c>
      <c r="RYS6" s="2888" t="s">
        <v>3241</v>
      </c>
      <c r="RYT6" s="2888" t="s">
        <v>3241</v>
      </c>
      <c r="RYU6" s="2888" t="s">
        <v>3241</v>
      </c>
      <c r="RYV6" s="2888" t="s">
        <v>3241</v>
      </c>
      <c r="RYW6" s="2888" t="s">
        <v>3241</v>
      </c>
      <c r="RYX6" s="2888" t="s">
        <v>3241</v>
      </c>
      <c r="RYY6" s="2888" t="s">
        <v>3241</v>
      </c>
      <c r="RYZ6" s="2888" t="s">
        <v>3241</v>
      </c>
      <c r="RZA6" s="2888" t="s">
        <v>3241</v>
      </c>
      <c r="RZB6" s="2888" t="s">
        <v>3241</v>
      </c>
      <c r="RZC6" s="2888" t="s">
        <v>3241</v>
      </c>
      <c r="RZD6" s="2888" t="s">
        <v>3241</v>
      </c>
      <c r="RZE6" s="2888" t="s">
        <v>3241</v>
      </c>
      <c r="RZF6" s="2888" t="s">
        <v>3241</v>
      </c>
      <c r="RZG6" s="2888" t="s">
        <v>3241</v>
      </c>
      <c r="RZH6" s="2888" t="s">
        <v>3241</v>
      </c>
      <c r="RZI6" s="2888" t="s">
        <v>3241</v>
      </c>
      <c r="RZJ6" s="2888" t="s">
        <v>3241</v>
      </c>
      <c r="RZK6" s="2888" t="s">
        <v>3241</v>
      </c>
      <c r="RZL6" s="2888" t="s">
        <v>3241</v>
      </c>
      <c r="RZM6" s="2888" t="s">
        <v>3241</v>
      </c>
      <c r="RZN6" s="2888" t="s">
        <v>3241</v>
      </c>
      <c r="RZO6" s="2888" t="s">
        <v>3241</v>
      </c>
      <c r="RZP6" s="2888" t="s">
        <v>3241</v>
      </c>
      <c r="RZQ6" s="2888" t="s">
        <v>3241</v>
      </c>
      <c r="RZR6" s="2888" t="s">
        <v>3241</v>
      </c>
      <c r="RZS6" s="2888" t="s">
        <v>3241</v>
      </c>
      <c r="RZT6" s="2888" t="s">
        <v>3241</v>
      </c>
      <c r="RZU6" s="2888" t="s">
        <v>3241</v>
      </c>
      <c r="RZV6" s="2888" t="s">
        <v>3241</v>
      </c>
      <c r="RZW6" s="2888" t="s">
        <v>3241</v>
      </c>
      <c r="RZX6" s="2888" t="s">
        <v>3241</v>
      </c>
      <c r="RZY6" s="2888" t="s">
        <v>3241</v>
      </c>
      <c r="RZZ6" s="2888" t="s">
        <v>3241</v>
      </c>
      <c r="SAA6" s="2888" t="s">
        <v>3241</v>
      </c>
      <c r="SAB6" s="2888" t="s">
        <v>3241</v>
      </c>
      <c r="SAC6" s="2888" t="s">
        <v>3241</v>
      </c>
      <c r="SAD6" s="2888" t="s">
        <v>3241</v>
      </c>
      <c r="SAE6" s="2888" t="s">
        <v>3241</v>
      </c>
      <c r="SAF6" s="2888" t="s">
        <v>3241</v>
      </c>
      <c r="SAG6" s="2888" t="s">
        <v>3241</v>
      </c>
      <c r="SAH6" s="2888" t="s">
        <v>3241</v>
      </c>
      <c r="SAI6" s="2888" t="s">
        <v>3241</v>
      </c>
      <c r="SAJ6" s="2888" t="s">
        <v>3241</v>
      </c>
      <c r="SAK6" s="2888" t="s">
        <v>3241</v>
      </c>
      <c r="SAL6" s="2888" t="s">
        <v>3241</v>
      </c>
      <c r="SAM6" s="2888" t="s">
        <v>3241</v>
      </c>
      <c r="SAN6" s="2888" t="s">
        <v>3241</v>
      </c>
      <c r="SAO6" s="2888" t="s">
        <v>3241</v>
      </c>
      <c r="SAP6" s="2888" t="s">
        <v>3241</v>
      </c>
      <c r="SAQ6" s="2888" t="s">
        <v>3241</v>
      </c>
      <c r="SAR6" s="2888" t="s">
        <v>3241</v>
      </c>
      <c r="SAS6" s="2888" t="s">
        <v>3241</v>
      </c>
      <c r="SAT6" s="2888" t="s">
        <v>3241</v>
      </c>
      <c r="SAU6" s="2888" t="s">
        <v>3241</v>
      </c>
      <c r="SAV6" s="2888" t="s">
        <v>3241</v>
      </c>
      <c r="SAW6" s="2888" t="s">
        <v>3241</v>
      </c>
      <c r="SAX6" s="2888" t="s">
        <v>3241</v>
      </c>
      <c r="SAY6" s="2888" t="s">
        <v>3241</v>
      </c>
      <c r="SAZ6" s="2888" t="s">
        <v>3241</v>
      </c>
      <c r="SBA6" s="2888" t="s">
        <v>3241</v>
      </c>
      <c r="SBB6" s="2888" t="s">
        <v>3241</v>
      </c>
      <c r="SBC6" s="2888" t="s">
        <v>3241</v>
      </c>
      <c r="SBD6" s="2888" t="s">
        <v>3241</v>
      </c>
      <c r="SBE6" s="2888" t="s">
        <v>3241</v>
      </c>
      <c r="SBF6" s="2888" t="s">
        <v>3241</v>
      </c>
      <c r="SBG6" s="2888" t="s">
        <v>3241</v>
      </c>
      <c r="SBH6" s="2888" t="s">
        <v>3241</v>
      </c>
      <c r="SBI6" s="2888" t="s">
        <v>3241</v>
      </c>
      <c r="SBJ6" s="2888" t="s">
        <v>3241</v>
      </c>
      <c r="SBK6" s="2888" t="s">
        <v>3241</v>
      </c>
      <c r="SBL6" s="2888" t="s">
        <v>3241</v>
      </c>
      <c r="SBM6" s="2888" t="s">
        <v>3241</v>
      </c>
      <c r="SBN6" s="2888" t="s">
        <v>3241</v>
      </c>
      <c r="SBO6" s="2888" t="s">
        <v>3241</v>
      </c>
      <c r="SBP6" s="2888" t="s">
        <v>3241</v>
      </c>
      <c r="SBQ6" s="2888" t="s">
        <v>3241</v>
      </c>
      <c r="SBR6" s="2888" t="s">
        <v>3241</v>
      </c>
      <c r="SBS6" s="2888" t="s">
        <v>3241</v>
      </c>
      <c r="SBT6" s="2888" t="s">
        <v>3241</v>
      </c>
      <c r="SBU6" s="2888" t="s">
        <v>3241</v>
      </c>
      <c r="SBV6" s="2888" t="s">
        <v>3241</v>
      </c>
      <c r="SBW6" s="2888" t="s">
        <v>3241</v>
      </c>
      <c r="SBX6" s="2888" t="s">
        <v>3241</v>
      </c>
      <c r="SBY6" s="2888" t="s">
        <v>3241</v>
      </c>
      <c r="SBZ6" s="2888" t="s">
        <v>3241</v>
      </c>
      <c r="SCA6" s="2888" t="s">
        <v>3241</v>
      </c>
      <c r="SCB6" s="2888" t="s">
        <v>3241</v>
      </c>
      <c r="SCC6" s="2888" t="s">
        <v>3241</v>
      </c>
      <c r="SCD6" s="2888" t="s">
        <v>3241</v>
      </c>
      <c r="SCE6" s="2888" t="s">
        <v>3241</v>
      </c>
      <c r="SCF6" s="2888" t="s">
        <v>3241</v>
      </c>
      <c r="SCG6" s="2888" t="s">
        <v>3241</v>
      </c>
      <c r="SCH6" s="2888" t="s">
        <v>3241</v>
      </c>
      <c r="SCI6" s="2888" t="s">
        <v>3241</v>
      </c>
      <c r="SCJ6" s="2888" t="s">
        <v>3241</v>
      </c>
      <c r="SCK6" s="2888" t="s">
        <v>3241</v>
      </c>
      <c r="SCL6" s="2888" t="s">
        <v>3241</v>
      </c>
      <c r="SCM6" s="2888" t="s">
        <v>3241</v>
      </c>
      <c r="SCN6" s="2888" t="s">
        <v>3241</v>
      </c>
      <c r="SCO6" s="2888" t="s">
        <v>3241</v>
      </c>
      <c r="SCP6" s="2888" t="s">
        <v>3241</v>
      </c>
      <c r="SCQ6" s="2888" t="s">
        <v>3241</v>
      </c>
      <c r="SCR6" s="2888" t="s">
        <v>3241</v>
      </c>
      <c r="SCS6" s="2888" t="s">
        <v>3241</v>
      </c>
      <c r="SCT6" s="2888" t="s">
        <v>3241</v>
      </c>
      <c r="SCU6" s="2888" t="s">
        <v>3241</v>
      </c>
      <c r="SCV6" s="2888" t="s">
        <v>3241</v>
      </c>
      <c r="SCW6" s="2888" t="s">
        <v>3241</v>
      </c>
      <c r="SCX6" s="2888" t="s">
        <v>3241</v>
      </c>
      <c r="SCY6" s="2888" t="s">
        <v>3241</v>
      </c>
      <c r="SCZ6" s="2888" t="s">
        <v>3241</v>
      </c>
      <c r="SDA6" s="2888" t="s">
        <v>3241</v>
      </c>
      <c r="SDB6" s="2888" t="s">
        <v>3241</v>
      </c>
      <c r="SDC6" s="2888" t="s">
        <v>3241</v>
      </c>
      <c r="SDD6" s="2888" t="s">
        <v>3241</v>
      </c>
      <c r="SDE6" s="2888" t="s">
        <v>3241</v>
      </c>
      <c r="SDF6" s="2888" t="s">
        <v>3241</v>
      </c>
      <c r="SDG6" s="2888" t="s">
        <v>3241</v>
      </c>
      <c r="SDH6" s="2888" t="s">
        <v>3241</v>
      </c>
      <c r="SDI6" s="2888" t="s">
        <v>3241</v>
      </c>
      <c r="SDJ6" s="2888" t="s">
        <v>3241</v>
      </c>
      <c r="SDK6" s="2888" t="s">
        <v>3241</v>
      </c>
      <c r="SDL6" s="2888" t="s">
        <v>3241</v>
      </c>
      <c r="SDM6" s="2888" t="s">
        <v>3241</v>
      </c>
      <c r="SDN6" s="2888" t="s">
        <v>3241</v>
      </c>
      <c r="SDO6" s="2888" t="s">
        <v>3241</v>
      </c>
      <c r="SDP6" s="2888" t="s">
        <v>3241</v>
      </c>
      <c r="SDQ6" s="2888" t="s">
        <v>3241</v>
      </c>
      <c r="SDR6" s="2888" t="s">
        <v>3241</v>
      </c>
      <c r="SDS6" s="2888" t="s">
        <v>3241</v>
      </c>
      <c r="SDT6" s="2888" t="s">
        <v>3241</v>
      </c>
      <c r="SDU6" s="2888" t="s">
        <v>3241</v>
      </c>
      <c r="SDV6" s="2888" t="s">
        <v>3241</v>
      </c>
      <c r="SDW6" s="2888" t="s">
        <v>3241</v>
      </c>
      <c r="SDX6" s="2888" t="s">
        <v>3241</v>
      </c>
      <c r="SDY6" s="2888" t="s">
        <v>3241</v>
      </c>
      <c r="SDZ6" s="2888" t="s">
        <v>3241</v>
      </c>
      <c r="SEA6" s="2888" t="s">
        <v>3241</v>
      </c>
      <c r="SEB6" s="2888" t="s">
        <v>3241</v>
      </c>
      <c r="SEC6" s="2888" t="s">
        <v>3241</v>
      </c>
      <c r="SED6" s="2888" t="s">
        <v>3241</v>
      </c>
      <c r="SEE6" s="2888" t="s">
        <v>3241</v>
      </c>
      <c r="SEF6" s="2888" t="s">
        <v>3241</v>
      </c>
      <c r="SEG6" s="2888" t="s">
        <v>3241</v>
      </c>
      <c r="SEH6" s="2888" t="s">
        <v>3241</v>
      </c>
      <c r="SEI6" s="2888" t="s">
        <v>3241</v>
      </c>
      <c r="SEJ6" s="2888" t="s">
        <v>3241</v>
      </c>
      <c r="SEK6" s="2888" t="s">
        <v>3241</v>
      </c>
      <c r="SEL6" s="2888" t="s">
        <v>3241</v>
      </c>
      <c r="SEM6" s="2888" t="s">
        <v>3241</v>
      </c>
      <c r="SEN6" s="2888" t="s">
        <v>3241</v>
      </c>
      <c r="SEO6" s="2888" t="s">
        <v>3241</v>
      </c>
      <c r="SEP6" s="2888" t="s">
        <v>3241</v>
      </c>
      <c r="SEQ6" s="2888" t="s">
        <v>3241</v>
      </c>
      <c r="SER6" s="2888" t="s">
        <v>3241</v>
      </c>
      <c r="SES6" s="2888" t="s">
        <v>3241</v>
      </c>
      <c r="SET6" s="2888" t="s">
        <v>3241</v>
      </c>
      <c r="SEU6" s="2888" t="s">
        <v>3241</v>
      </c>
      <c r="SEV6" s="2888" t="s">
        <v>3241</v>
      </c>
      <c r="SEW6" s="2888" t="s">
        <v>3241</v>
      </c>
      <c r="SEX6" s="2888" t="s">
        <v>3241</v>
      </c>
      <c r="SEY6" s="2888" t="s">
        <v>3241</v>
      </c>
      <c r="SEZ6" s="2888" t="s">
        <v>3241</v>
      </c>
      <c r="SFA6" s="2888" t="s">
        <v>3241</v>
      </c>
      <c r="SFB6" s="2888" t="s">
        <v>3241</v>
      </c>
      <c r="SFC6" s="2888" t="s">
        <v>3241</v>
      </c>
      <c r="SFD6" s="2888" t="s">
        <v>3241</v>
      </c>
      <c r="SFE6" s="2888" t="s">
        <v>3241</v>
      </c>
      <c r="SFF6" s="2888" t="s">
        <v>3241</v>
      </c>
      <c r="SFG6" s="2888" t="s">
        <v>3241</v>
      </c>
      <c r="SFH6" s="2888" t="s">
        <v>3241</v>
      </c>
      <c r="SFI6" s="2888" t="s">
        <v>3241</v>
      </c>
      <c r="SFJ6" s="2888" t="s">
        <v>3241</v>
      </c>
      <c r="SFK6" s="2888" t="s">
        <v>3241</v>
      </c>
      <c r="SFL6" s="2888" t="s">
        <v>3241</v>
      </c>
      <c r="SFM6" s="2888" t="s">
        <v>3241</v>
      </c>
      <c r="SFN6" s="2888" t="s">
        <v>3241</v>
      </c>
      <c r="SFO6" s="2888" t="s">
        <v>3241</v>
      </c>
      <c r="SFP6" s="2888" t="s">
        <v>3241</v>
      </c>
      <c r="SFQ6" s="2888" t="s">
        <v>3241</v>
      </c>
      <c r="SFR6" s="2888" t="s">
        <v>3241</v>
      </c>
      <c r="SFS6" s="2888" t="s">
        <v>3241</v>
      </c>
      <c r="SFT6" s="2888" t="s">
        <v>3241</v>
      </c>
      <c r="SFU6" s="2888" t="s">
        <v>3241</v>
      </c>
      <c r="SFV6" s="2888" t="s">
        <v>3241</v>
      </c>
      <c r="SFW6" s="2888" t="s">
        <v>3241</v>
      </c>
      <c r="SFX6" s="2888" t="s">
        <v>3241</v>
      </c>
      <c r="SFY6" s="2888" t="s">
        <v>3241</v>
      </c>
      <c r="SFZ6" s="2888" t="s">
        <v>3241</v>
      </c>
      <c r="SGA6" s="2888" t="s">
        <v>3241</v>
      </c>
      <c r="SGB6" s="2888" t="s">
        <v>3241</v>
      </c>
      <c r="SGC6" s="2888" t="s">
        <v>3241</v>
      </c>
      <c r="SGD6" s="2888" t="s">
        <v>3241</v>
      </c>
      <c r="SGE6" s="2888" t="s">
        <v>3241</v>
      </c>
      <c r="SGF6" s="2888" t="s">
        <v>3241</v>
      </c>
      <c r="SGG6" s="2888" t="s">
        <v>3241</v>
      </c>
      <c r="SGH6" s="2888" t="s">
        <v>3241</v>
      </c>
      <c r="SGI6" s="2888" t="s">
        <v>3241</v>
      </c>
      <c r="SGJ6" s="2888" t="s">
        <v>3241</v>
      </c>
      <c r="SGK6" s="2888" t="s">
        <v>3241</v>
      </c>
      <c r="SGL6" s="2888" t="s">
        <v>3241</v>
      </c>
      <c r="SGM6" s="2888" t="s">
        <v>3241</v>
      </c>
      <c r="SGN6" s="2888" t="s">
        <v>3241</v>
      </c>
      <c r="SGO6" s="2888" t="s">
        <v>3241</v>
      </c>
      <c r="SGP6" s="2888" t="s">
        <v>3241</v>
      </c>
      <c r="SGQ6" s="2888" t="s">
        <v>3241</v>
      </c>
      <c r="SGR6" s="2888" t="s">
        <v>3241</v>
      </c>
      <c r="SGS6" s="2888" t="s">
        <v>3241</v>
      </c>
      <c r="SGT6" s="2888" t="s">
        <v>3241</v>
      </c>
      <c r="SGU6" s="2888" t="s">
        <v>3241</v>
      </c>
      <c r="SGV6" s="2888" t="s">
        <v>3241</v>
      </c>
      <c r="SGW6" s="2888" t="s">
        <v>3241</v>
      </c>
      <c r="SGX6" s="2888" t="s">
        <v>3241</v>
      </c>
      <c r="SGY6" s="2888" t="s">
        <v>3241</v>
      </c>
      <c r="SGZ6" s="2888" t="s">
        <v>3241</v>
      </c>
      <c r="SHA6" s="2888" t="s">
        <v>3241</v>
      </c>
      <c r="SHB6" s="2888" t="s">
        <v>3241</v>
      </c>
      <c r="SHC6" s="2888" t="s">
        <v>3241</v>
      </c>
      <c r="SHD6" s="2888" t="s">
        <v>3241</v>
      </c>
      <c r="SHE6" s="2888" t="s">
        <v>3241</v>
      </c>
      <c r="SHF6" s="2888" t="s">
        <v>3241</v>
      </c>
      <c r="SHG6" s="2888" t="s">
        <v>3241</v>
      </c>
      <c r="SHH6" s="2888" t="s">
        <v>3241</v>
      </c>
      <c r="SHI6" s="2888" t="s">
        <v>3241</v>
      </c>
      <c r="SHJ6" s="2888" t="s">
        <v>3241</v>
      </c>
      <c r="SHK6" s="2888" t="s">
        <v>3241</v>
      </c>
      <c r="SHL6" s="2888" t="s">
        <v>3241</v>
      </c>
      <c r="SHM6" s="2888" t="s">
        <v>3241</v>
      </c>
      <c r="SHN6" s="2888" t="s">
        <v>3241</v>
      </c>
      <c r="SHO6" s="2888" t="s">
        <v>3241</v>
      </c>
      <c r="SHP6" s="2888" t="s">
        <v>3241</v>
      </c>
      <c r="SHQ6" s="2888" t="s">
        <v>3241</v>
      </c>
      <c r="SHR6" s="2888" t="s">
        <v>3241</v>
      </c>
      <c r="SHS6" s="2888" t="s">
        <v>3241</v>
      </c>
      <c r="SHT6" s="2888" t="s">
        <v>3241</v>
      </c>
      <c r="SHU6" s="2888" t="s">
        <v>3241</v>
      </c>
      <c r="SHV6" s="2888" t="s">
        <v>3241</v>
      </c>
      <c r="SHW6" s="2888" t="s">
        <v>3241</v>
      </c>
      <c r="SHX6" s="2888" t="s">
        <v>3241</v>
      </c>
      <c r="SHY6" s="2888" t="s">
        <v>3241</v>
      </c>
      <c r="SHZ6" s="2888" t="s">
        <v>3241</v>
      </c>
      <c r="SIA6" s="2888" t="s">
        <v>3241</v>
      </c>
      <c r="SIB6" s="2888" t="s">
        <v>3241</v>
      </c>
      <c r="SIC6" s="2888" t="s">
        <v>3241</v>
      </c>
      <c r="SID6" s="2888" t="s">
        <v>3241</v>
      </c>
      <c r="SIE6" s="2888" t="s">
        <v>3241</v>
      </c>
      <c r="SIF6" s="2888" t="s">
        <v>3241</v>
      </c>
      <c r="SIG6" s="2888" t="s">
        <v>3241</v>
      </c>
      <c r="SIH6" s="2888" t="s">
        <v>3241</v>
      </c>
      <c r="SII6" s="2888" t="s">
        <v>3241</v>
      </c>
      <c r="SIJ6" s="2888" t="s">
        <v>3241</v>
      </c>
      <c r="SIK6" s="2888" t="s">
        <v>3241</v>
      </c>
      <c r="SIL6" s="2888" t="s">
        <v>3241</v>
      </c>
      <c r="SIM6" s="2888" t="s">
        <v>3241</v>
      </c>
      <c r="SIN6" s="2888" t="s">
        <v>3241</v>
      </c>
      <c r="SIO6" s="2888" t="s">
        <v>3241</v>
      </c>
      <c r="SIP6" s="2888" t="s">
        <v>3241</v>
      </c>
      <c r="SIQ6" s="2888" t="s">
        <v>3241</v>
      </c>
      <c r="SIR6" s="2888" t="s">
        <v>3241</v>
      </c>
      <c r="SIS6" s="2888" t="s">
        <v>3241</v>
      </c>
      <c r="SIT6" s="2888" t="s">
        <v>3241</v>
      </c>
      <c r="SIU6" s="2888" t="s">
        <v>3241</v>
      </c>
      <c r="SIV6" s="2888" t="s">
        <v>3241</v>
      </c>
      <c r="SIW6" s="2888" t="s">
        <v>3241</v>
      </c>
      <c r="SIX6" s="2888" t="s">
        <v>3241</v>
      </c>
      <c r="SIY6" s="2888" t="s">
        <v>3241</v>
      </c>
      <c r="SIZ6" s="2888" t="s">
        <v>3241</v>
      </c>
      <c r="SJA6" s="2888" t="s">
        <v>3241</v>
      </c>
      <c r="SJB6" s="2888" t="s">
        <v>3241</v>
      </c>
      <c r="SJC6" s="2888" t="s">
        <v>3241</v>
      </c>
      <c r="SJD6" s="2888" t="s">
        <v>3241</v>
      </c>
      <c r="SJE6" s="2888" t="s">
        <v>3241</v>
      </c>
      <c r="SJF6" s="2888" t="s">
        <v>3241</v>
      </c>
      <c r="SJG6" s="2888" t="s">
        <v>3241</v>
      </c>
      <c r="SJH6" s="2888" t="s">
        <v>3241</v>
      </c>
      <c r="SJI6" s="2888" t="s">
        <v>3241</v>
      </c>
      <c r="SJJ6" s="2888" t="s">
        <v>3241</v>
      </c>
      <c r="SJK6" s="2888" t="s">
        <v>3241</v>
      </c>
      <c r="SJL6" s="2888" t="s">
        <v>3241</v>
      </c>
      <c r="SJM6" s="2888" t="s">
        <v>3241</v>
      </c>
      <c r="SJN6" s="2888" t="s">
        <v>3241</v>
      </c>
      <c r="SJO6" s="2888" t="s">
        <v>3241</v>
      </c>
      <c r="SJP6" s="2888" t="s">
        <v>3241</v>
      </c>
      <c r="SJQ6" s="2888" t="s">
        <v>3241</v>
      </c>
      <c r="SJR6" s="2888" t="s">
        <v>3241</v>
      </c>
      <c r="SJS6" s="2888" t="s">
        <v>3241</v>
      </c>
      <c r="SJT6" s="2888" t="s">
        <v>3241</v>
      </c>
      <c r="SJU6" s="2888" t="s">
        <v>3241</v>
      </c>
      <c r="SJV6" s="2888" t="s">
        <v>3241</v>
      </c>
      <c r="SJW6" s="2888" t="s">
        <v>3241</v>
      </c>
      <c r="SJX6" s="2888" t="s">
        <v>3241</v>
      </c>
      <c r="SJY6" s="2888" t="s">
        <v>3241</v>
      </c>
      <c r="SJZ6" s="2888" t="s">
        <v>3241</v>
      </c>
      <c r="SKA6" s="2888" t="s">
        <v>3241</v>
      </c>
      <c r="SKB6" s="2888" t="s">
        <v>3241</v>
      </c>
      <c r="SKC6" s="2888" t="s">
        <v>3241</v>
      </c>
      <c r="SKD6" s="2888" t="s">
        <v>3241</v>
      </c>
      <c r="SKE6" s="2888" t="s">
        <v>3241</v>
      </c>
      <c r="SKF6" s="2888" t="s">
        <v>3241</v>
      </c>
      <c r="SKG6" s="2888" t="s">
        <v>3241</v>
      </c>
      <c r="SKH6" s="2888" t="s">
        <v>3241</v>
      </c>
      <c r="SKI6" s="2888" t="s">
        <v>3241</v>
      </c>
      <c r="SKJ6" s="2888" t="s">
        <v>3241</v>
      </c>
      <c r="SKK6" s="2888" t="s">
        <v>3241</v>
      </c>
      <c r="SKL6" s="2888" t="s">
        <v>3241</v>
      </c>
      <c r="SKM6" s="2888" t="s">
        <v>3241</v>
      </c>
      <c r="SKN6" s="2888" t="s">
        <v>3241</v>
      </c>
      <c r="SKO6" s="2888" t="s">
        <v>3241</v>
      </c>
      <c r="SKP6" s="2888" t="s">
        <v>3241</v>
      </c>
      <c r="SKQ6" s="2888" t="s">
        <v>3241</v>
      </c>
      <c r="SKR6" s="2888" t="s">
        <v>3241</v>
      </c>
      <c r="SKS6" s="2888" t="s">
        <v>3241</v>
      </c>
      <c r="SKT6" s="2888" t="s">
        <v>3241</v>
      </c>
      <c r="SKU6" s="2888" t="s">
        <v>3241</v>
      </c>
      <c r="SKV6" s="2888" t="s">
        <v>3241</v>
      </c>
      <c r="SKW6" s="2888" t="s">
        <v>3241</v>
      </c>
      <c r="SKX6" s="2888" t="s">
        <v>3241</v>
      </c>
      <c r="SKY6" s="2888" t="s">
        <v>3241</v>
      </c>
      <c r="SKZ6" s="2888" t="s">
        <v>3241</v>
      </c>
      <c r="SLA6" s="2888" t="s">
        <v>3241</v>
      </c>
      <c r="SLB6" s="2888" t="s">
        <v>3241</v>
      </c>
      <c r="SLC6" s="2888" t="s">
        <v>3241</v>
      </c>
      <c r="SLD6" s="2888" t="s">
        <v>3241</v>
      </c>
      <c r="SLE6" s="2888" t="s">
        <v>3241</v>
      </c>
      <c r="SLF6" s="2888" t="s">
        <v>3241</v>
      </c>
      <c r="SLG6" s="2888" t="s">
        <v>3241</v>
      </c>
      <c r="SLH6" s="2888" t="s">
        <v>3241</v>
      </c>
      <c r="SLI6" s="2888" t="s">
        <v>3241</v>
      </c>
      <c r="SLJ6" s="2888" t="s">
        <v>3241</v>
      </c>
      <c r="SLK6" s="2888" t="s">
        <v>3241</v>
      </c>
      <c r="SLL6" s="2888" t="s">
        <v>3241</v>
      </c>
      <c r="SLM6" s="2888" t="s">
        <v>3241</v>
      </c>
      <c r="SLN6" s="2888" t="s">
        <v>3241</v>
      </c>
      <c r="SLO6" s="2888" t="s">
        <v>3241</v>
      </c>
      <c r="SLP6" s="2888" t="s">
        <v>3241</v>
      </c>
      <c r="SLQ6" s="2888" t="s">
        <v>3241</v>
      </c>
      <c r="SLR6" s="2888" t="s">
        <v>3241</v>
      </c>
      <c r="SLS6" s="2888" t="s">
        <v>3241</v>
      </c>
      <c r="SLT6" s="2888" t="s">
        <v>3241</v>
      </c>
      <c r="SLU6" s="2888" t="s">
        <v>3241</v>
      </c>
      <c r="SLV6" s="2888" t="s">
        <v>3241</v>
      </c>
      <c r="SLW6" s="2888" t="s">
        <v>3241</v>
      </c>
      <c r="SLX6" s="2888" t="s">
        <v>3241</v>
      </c>
      <c r="SLY6" s="2888" t="s">
        <v>3241</v>
      </c>
      <c r="SLZ6" s="2888" t="s">
        <v>3241</v>
      </c>
      <c r="SMA6" s="2888" t="s">
        <v>3241</v>
      </c>
      <c r="SMB6" s="2888" t="s">
        <v>3241</v>
      </c>
      <c r="SMC6" s="2888" t="s">
        <v>3241</v>
      </c>
      <c r="SMD6" s="2888" t="s">
        <v>3241</v>
      </c>
      <c r="SME6" s="2888" t="s">
        <v>3241</v>
      </c>
      <c r="SMF6" s="2888" t="s">
        <v>3241</v>
      </c>
      <c r="SMG6" s="2888" t="s">
        <v>3241</v>
      </c>
      <c r="SMH6" s="2888" t="s">
        <v>3241</v>
      </c>
      <c r="SMI6" s="2888" t="s">
        <v>3241</v>
      </c>
      <c r="SMJ6" s="2888" t="s">
        <v>3241</v>
      </c>
      <c r="SMK6" s="2888" t="s">
        <v>3241</v>
      </c>
      <c r="SML6" s="2888" t="s">
        <v>3241</v>
      </c>
      <c r="SMM6" s="2888" t="s">
        <v>3241</v>
      </c>
      <c r="SMN6" s="2888" t="s">
        <v>3241</v>
      </c>
      <c r="SMO6" s="2888" t="s">
        <v>3241</v>
      </c>
      <c r="SMP6" s="2888" t="s">
        <v>3241</v>
      </c>
      <c r="SMQ6" s="2888" t="s">
        <v>3241</v>
      </c>
      <c r="SMR6" s="2888" t="s">
        <v>3241</v>
      </c>
      <c r="SMS6" s="2888" t="s">
        <v>3241</v>
      </c>
      <c r="SMT6" s="2888" t="s">
        <v>3241</v>
      </c>
      <c r="SMU6" s="2888" t="s">
        <v>3241</v>
      </c>
      <c r="SMV6" s="2888" t="s">
        <v>3241</v>
      </c>
      <c r="SMW6" s="2888" t="s">
        <v>3241</v>
      </c>
      <c r="SMX6" s="2888" t="s">
        <v>3241</v>
      </c>
      <c r="SMY6" s="2888" t="s">
        <v>3241</v>
      </c>
      <c r="SMZ6" s="2888" t="s">
        <v>3241</v>
      </c>
      <c r="SNA6" s="2888" t="s">
        <v>3241</v>
      </c>
      <c r="SNB6" s="2888" t="s">
        <v>3241</v>
      </c>
      <c r="SNC6" s="2888" t="s">
        <v>3241</v>
      </c>
      <c r="SND6" s="2888" t="s">
        <v>3241</v>
      </c>
      <c r="SNE6" s="2888" t="s">
        <v>3241</v>
      </c>
      <c r="SNF6" s="2888" t="s">
        <v>3241</v>
      </c>
      <c r="SNG6" s="2888" t="s">
        <v>3241</v>
      </c>
      <c r="SNH6" s="2888" t="s">
        <v>3241</v>
      </c>
      <c r="SNI6" s="2888" t="s">
        <v>3241</v>
      </c>
      <c r="SNJ6" s="2888" t="s">
        <v>3241</v>
      </c>
      <c r="SNK6" s="2888" t="s">
        <v>3241</v>
      </c>
      <c r="SNL6" s="2888" t="s">
        <v>3241</v>
      </c>
      <c r="SNM6" s="2888" t="s">
        <v>3241</v>
      </c>
      <c r="SNN6" s="2888" t="s">
        <v>3241</v>
      </c>
      <c r="SNO6" s="2888" t="s">
        <v>3241</v>
      </c>
      <c r="SNP6" s="2888" t="s">
        <v>3241</v>
      </c>
      <c r="SNQ6" s="2888" t="s">
        <v>3241</v>
      </c>
      <c r="SNR6" s="2888" t="s">
        <v>3241</v>
      </c>
      <c r="SNS6" s="2888" t="s">
        <v>3241</v>
      </c>
      <c r="SNT6" s="2888" t="s">
        <v>3241</v>
      </c>
      <c r="SNU6" s="2888" t="s">
        <v>3241</v>
      </c>
      <c r="SNV6" s="2888" t="s">
        <v>3241</v>
      </c>
      <c r="SNW6" s="2888" t="s">
        <v>3241</v>
      </c>
      <c r="SNX6" s="2888" t="s">
        <v>3241</v>
      </c>
      <c r="SNY6" s="2888" t="s">
        <v>3241</v>
      </c>
      <c r="SNZ6" s="2888" t="s">
        <v>3241</v>
      </c>
      <c r="SOA6" s="2888" t="s">
        <v>3241</v>
      </c>
      <c r="SOB6" s="2888" t="s">
        <v>3241</v>
      </c>
      <c r="SOC6" s="2888" t="s">
        <v>3241</v>
      </c>
      <c r="SOD6" s="2888" t="s">
        <v>3241</v>
      </c>
      <c r="SOE6" s="2888" t="s">
        <v>3241</v>
      </c>
      <c r="SOF6" s="2888" t="s">
        <v>3241</v>
      </c>
      <c r="SOG6" s="2888" t="s">
        <v>3241</v>
      </c>
      <c r="SOH6" s="2888" t="s">
        <v>3241</v>
      </c>
      <c r="SOI6" s="2888" t="s">
        <v>3241</v>
      </c>
      <c r="SOJ6" s="2888" t="s">
        <v>3241</v>
      </c>
      <c r="SOK6" s="2888" t="s">
        <v>3241</v>
      </c>
      <c r="SOL6" s="2888" t="s">
        <v>3241</v>
      </c>
      <c r="SOM6" s="2888" t="s">
        <v>3241</v>
      </c>
      <c r="SON6" s="2888" t="s">
        <v>3241</v>
      </c>
      <c r="SOO6" s="2888" t="s">
        <v>3241</v>
      </c>
      <c r="SOP6" s="2888" t="s">
        <v>3241</v>
      </c>
      <c r="SOQ6" s="2888" t="s">
        <v>3241</v>
      </c>
      <c r="SOR6" s="2888" t="s">
        <v>3241</v>
      </c>
      <c r="SOS6" s="2888" t="s">
        <v>3241</v>
      </c>
      <c r="SOT6" s="2888" t="s">
        <v>3241</v>
      </c>
      <c r="SOU6" s="2888" t="s">
        <v>3241</v>
      </c>
      <c r="SOV6" s="2888" t="s">
        <v>3241</v>
      </c>
      <c r="SOW6" s="2888" t="s">
        <v>3241</v>
      </c>
      <c r="SOX6" s="2888" t="s">
        <v>3241</v>
      </c>
      <c r="SOY6" s="2888" t="s">
        <v>3241</v>
      </c>
      <c r="SOZ6" s="2888" t="s">
        <v>3241</v>
      </c>
      <c r="SPA6" s="2888" t="s">
        <v>3241</v>
      </c>
      <c r="SPB6" s="2888" t="s">
        <v>3241</v>
      </c>
      <c r="SPC6" s="2888" t="s">
        <v>3241</v>
      </c>
      <c r="SPD6" s="2888" t="s">
        <v>3241</v>
      </c>
      <c r="SPE6" s="2888" t="s">
        <v>3241</v>
      </c>
      <c r="SPF6" s="2888" t="s">
        <v>3241</v>
      </c>
      <c r="SPG6" s="2888" t="s">
        <v>3241</v>
      </c>
      <c r="SPH6" s="2888" t="s">
        <v>3241</v>
      </c>
      <c r="SPI6" s="2888" t="s">
        <v>3241</v>
      </c>
      <c r="SPJ6" s="2888" t="s">
        <v>3241</v>
      </c>
      <c r="SPK6" s="2888" t="s">
        <v>3241</v>
      </c>
      <c r="SPL6" s="2888" t="s">
        <v>3241</v>
      </c>
      <c r="SPM6" s="2888" t="s">
        <v>3241</v>
      </c>
      <c r="SPN6" s="2888" t="s">
        <v>3241</v>
      </c>
      <c r="SPO6" s="2888" t="s">
        <v>3241</v>
      </c>
      <c r="SPP6" s="2888" t="s">
        <v>3241</v>
      </c>
      <c r="SPQ6" s="2888" t="s">
        <v>3241</v>
      </c>
      <c r="SPR6" s="2888" t="s">
        <v>3241</v>
      </c>
      <c r="SPS6" s="2888" t="s">
        <v>3241</v>
      </c>
      <c r="SPT6" s="2888" t="s">
        <v>3241</v>
      </c>
      <c r="SPU6" s="2888" t="s">
        <v>3241</v>
      </c>
      <c r="SPV6" s="2888" t="s">
        <v>3241</v>
      </c>
      <c r="SPW6" s="2888" t="s">
        <v>3241</v>
      </c>
      <c r="SPX6" s="2888" t="s">
        <v>3241</v>
      </c>
      <c r="SPY6" s="2888" t="s">
        <v>3241</v>
      </c>
      <c r="SPZ6" s="2888" t="s">
        <v>3241</v>
      </c>
      <c r="SQA6" s="2888" t="s">
        <v>3241</v>
      </c>
      <c r="SQB6" s="2888" t="s">
        <v>3241</v>
      </c>
      <c r="SQC6" s="2888" t="s">
        <v>3241</v>
      </c>
      <c r="SQD6" s="2888" t="s">
        <v>3241</v>
      </c>
      <c r="SQE6" s="2888" t="s">
        <v>3241</v>
      </c>
      <c r="SQF6" s="2888" t="s">
        <v>3241</v>
      </c>
      <c r="SQG6" s="2888" t="s">
        <v>3241</v>
      </c>
      <c r="SQH6" s="2888" t="s">
        <v>3241</v>
      </c>
      <c r="SQI6" s="2888" t="s">
        <v>3241</v>
      </c>
      <c r="SQJ6" s="2888" t="s">
        <v>3241</v>
      </c>
      <c r="SQK6" s="2888" t="s">
        <v>3241</v>
      </c>
      <c r="SQL6" s="2888" t="s">
        <v>3241</v>
      </c>
      <c r="SQM6" s="2888" t="s">
        <v>3241</v>
      </c>
      <c r="SQN6" s="2888" t="s">
        <v>3241</v>
      </c>
      <c r="SQO6" s="2888" t="s">
        <v>3241</v>
      </c>
      <c r="SQP6" s="2888" t="s">
        <v>3241</v>
      </c>
      <c r="SQQ6" s="2888" t="s">
        <v>3241</v>
      </c>
      <c r="SQR6" s="2888" t="s">
        <v>3241</v>
      </c>
      <c r="SQS6" s="2888" t="s">
        <v>3241</v>
      </c>
      <c r="SQT6" s="2888" t="s">
        <v>3241</v>
      </c>
      <c r="SQU6" s="2888" t="s">
        <v>3241</v>
      </c>
      <c r="SQV6" s="2888" t="s">
        <v>3241</v>
      </c>
      <c r="SQW6" s="2888" t="s">
        <v>3241</v>
      </c>
      <c r="SQX6" s="2888" t="s">
        <v>3241</v>
      </c>
      <c r="SQY6" s="2888" t="s">
        <v>3241</v>
      </c>
      <c r="SQZ6" s="2888" t="s">
        <v>3241</v>
      </c>
      <c r="SRA6" s="2888" t="s">
        <v>3241</v>
      </c>
      <c r="SRB6" s="2888" t="s">
        <v>3241</v>
      </c>
      <c r="SRC6" s="2888" t="s">
        <v>3241</v>
      </c>
      <c r="SRD6" s="2888" t="s">
        <v>3241</v>
      </c>
      <c r="SRE6" s="2888" t="s">
        <v>3241</v>
      </c>
      <c r="SRF6" s="2888" t="s">
        <v>3241</v>
      </c>
      <c r="SRG6" s="2888" t="s">
        <v>3241</v>
      </c>
      <c r="SRH6" s="2888" t="s">
        <v>3241</v>
      </c>
      <c r="SRI6" s="2888" t="s">
        <v>3241</v>
      </c>
      <c r="SRJ6" s="2888" t="s">
        <v>3241</v>
      </c>
      <c r="SRK6" s="2888" t="s">
        <v>3241</v>
      </c>
      <c r="SRL6" s="2888" t="s">
        <v>3241</v>
      </c>
      <c r="SRM6" s="2888" t="s">
        <v>3241</v>
      </c>
      <c r="SRN6" s="2888" t="s">
        <v>3241</v>
      </c>
      <c r="SRO6" s="2888" t="s">
        <v>3241</v>
      </c>
      <c r="SRP6" s="2888" t="s">
        <v>3241</v>
      </c>
      <c r="SRQ6" s="2888" t="s">
        <v>3241</v>
      </c>
      <c r="SRR6" s="2888" t="s">
        <v>3241</v>
      </c>
      <c r="SRS6" s="2888" t="s">
        <v>3241</v>
      </c>
      <c r="SRT6" s="2888" t="s">
        <v>3241</v>
      </c>
      <c r="SRU6" s="2888" t="s">
        <v>3241</v>
      </c>
      <c r="SRV6" s="2888" t="s">
        <v>3241</v>
      </c>
      <c r="SRW6" s="2888" t="s">
        <v>3241</v>
      </c>
      <c r="SRX6" s="2888" t="s">
        <v>3241</v>
      </c>
      <c r="SRY6" s="2888" t="s">
        <v>3241</v>
      </c>
      <c r="SRZ6" s="2888" t="s">
        <v>3241</v>
      </c>
      <c r="SSA6" s="2888" t="s">
        <v>3241</v>
      </c>
      <c r="SSB6" s="2888" t="s">
        <v>3241</v>
      </c>
      <c r="SSC6" s="2888" t="s">
        <v>3241</v>
      </c>
      <c r="SSD6" s="2888" t="s">
        <v>3241</v>
      </c>
      <c r="SSE6" s="2888" t="s">
        <v>3241</v>
      </c>
      <c r="SSF6" s="2888" t="s">
        <v>3241</v>
      </c>
      <c r="SSG6" s="2888" t="s">
        <v>3241</v>
      </c>
      <c r="SSH6" s="2888" t="s">
        <v>3241</v>
      </c>
      <c r="SSI6" s="2888" t="s">
        <v>3241</v>
      </c>
      <c r="SSJ6" s="2888" t="s">
        <v>3241</v>
      </c>
      <c r="SSK6" s="2888" t="s">
        <v>3241</v>
      </c>
      <c r="SSL6" s="2888" t="s">
        <v>3241</v>
      </c>
      <c r="SSM6" s="2888" t="s">
        <v>3241</v>
      </c>
      <c r="SSN6" s="2888" t="s">
        <v>3241</v>
      </c>
      <c r="SSO6" s="2888" t="s">
        <v>3241</v>
      </c>
      <c r="SSP6" s="2888" t="s">
        <v>3241</v>
      </c>
      <c r="SSQ6" s="2888" t="s">
        <v>3241</v>
      </c>
      <c r="SSR6" s="2888" t="s">
        <v>3241</v>
      </c>
      <c r="SSS6" s="2888" t="s">
        <v>3241</v>
      </c>
      <c r="SST6" s="2888" t="s">
        <v>3241</v>
      </c>
      <c r="SSU6" s="2888" t="s">
        <v>3241</v>
      </c>
      <c r="SSV6" s="2888" t="s">
        <v>3241</v>
      </c>
      <c r="SSW6" s="2888" t="s">
        <v>3241</v>
      </c>
      <c r="SSX6" s="2888" t="s">
        <v>3241</v>
      </c>
      <c r="SSY6" s="2888" t="s">
        <v>3241</v>
      </c>
      <c r="SSZ6" s="2888" t="s">
        <v>3241</v>
      </c>
      <c r="STA6" s="2888" t="s">
        <v>3241</v>
      </c>
      <c r="STB6" s="2888" t="s">
        <v>3241</v>
      </c>
      <c r="STC6" s="2888" t="s">
        <v>3241</v>
      </c>
      <c r="STD6" s="2888" t="s">
        <v>3241</v>
      </c>
      <c r="STE6" s="2888" t="s">
        <v>3241</v>
      </c>
      <c r="STF6" s="2888" t="s">
        <v>3241</v>
      </c>
      <c r="STG6" s="2888" t="s">
        <v>3241</v>
      </c>
      <c r="STH6" s="2888" t="s">
        <v>3241</v>
      </c>
      <c r="STI6" s="2888" t="s">
        <v>3241</v>
      </c>
      <c r="STJ6" s="2888" t="s">
        <v>3241</v>
      </c>
      <c r="STK6" s="2888" t="s">
        <v>3241</v>
      </c>
      <c r="STL6" s="2888" t="s">
        <v>3241</v>
      </c>
      <c r="STM6" s="2888" t="s">
        <v>3241</v>
      </c>
      <c r="STN6" s="2888" t="s">
        <v>3241</v>
      </c>
      <c r="STO6" s="2888" t="s">
        <v>3241</v>
      </c>
      <c r="STP6" s="2888" t="s">
        <v>3241</v>
      </c>
      <c r="STQ6" s="2888" t="s">
        <v>3241</v>
      </c>
      <c r="STR6" s="2888" t="s">
        <v>3241</v>
      </c>
      <c r="STS6" s="2888" t="s">
        <v>3241</v>
      </c>
      <c r="STT6" s="2888" t="s">
        <v>3241</v>
      </c>
      <c r="STU6" s="2888" t="s">
        <v>3241</v>
      </c>
      <c r="STV6" s="2888" t="s">
        <v>3241</v>
      </c>
      <c r="STW6" s="2888" t="s">
        <v>3241</v>
      </c>
      <c r="STX6" s="2888" t="s">
        <v>3241</v>
      </c>
      <c r="STY6" s="2888" t="s">
        <v>3241</v>
      </c>
      <c r="STZ6" s="2888" t="s">
        <v>3241</v>
      </c>
      <c r="SUA6" s="2888" t="s">
        <v>3241</v>
      </c>
      <c r="SUB6" s="2888" t="s">
        <v>3241</v>
      </c>
      <c r="SUC6" s="2888" t="s">
        <v>3241</v>
      </c>
      <c r="SUD6" s="2888" t="s">
        <v>3241</v>
      </c>
      <c r="SUE6" s="2888" t="s">
        <v>3241</v>
      </c>
      <c r="SUF6" s="2888" t="s">
        <v>3241</v>
      </c>
      <c r="SUG6" s="2888" t="s">
        <v>3241</v>
      </c>
      <c r="SUH6" s="2888" t="s">
        <v>3241</v>
      </c>
      <c r="SUI6" s="2888" t="s">
        <v>3241</v>
      </c>
      <c r="SUJ6" s="2888" t="s">
        <v>3241</v>
      </c>
      <c r="SUK6" s="2888" t="s">
        <v>3241</v>
      </c>
      <c r="SUL6" s="2888" t="s">
        <v>3241</v>
      </c>
      <c r="SUM6" s="2888" t="s">
        <v>3241</v>
      </c>
      <c r="SUN6" s="2888" t="s">
        <v>3241</v>
      </c>
      <c r="SUO6" s="2888" t="s">
        <v>3241</v>
      </c>
      <c r="SUP6" s="2888" t="s">
        <v>3241</v>
      </c>
      <c r="SUQ6" s="2888" t="s">
        <v>3241</v>
      </c>
      <c r="SUR6" s="2888" t="s">
        <v>3241</v>
      </c>
      <c r="SUS6" s="2888" t="s">
        <v>3241</v>
      </c>
      <c r="SUT6" s="2888" t="s">
        <v>3241</v>
      </c>
      <c r="SUU6" s="2888" t="s">
        <v>3241</v>
      </c>
      <c r="SUV6" s="2888" t="s">
        <v>3241</v>
      </c>
      <c r="SUW6" s="2888" t="s">
        <v>3241</v>
      </c>
      <c r="SUX6" s="2888" t="s">
        <v>3241</v>
      </c>
      <c r="SUY6" s="2888" t="s">
        <v>3241</v>
      </c>
      <c r="SUZ6" s="2888" t="s">
        <v>3241</v>
      </c>
      <c r="SVA6" s="2888" t="s">
        <v>3241</v>
      </c>
      <c r="SVB6" s="2888" t="s">
        <v>3241</v>
      </c>
      <c r="SVC6" s="2888" t="s">
        <v>3241</v>
      </c>
      <c r="SVD6" s="2888" t="s">
        <v>3241</v>
      </c>
      <c r="SVE6" s="2888" t="s">
        <v>3241</v>
      </c>
      <c r="SVF6" s="2888" t="s">
        <v>3241</v>
      </c>
      <c r="SVG6" s="2888" t="s">
        <v>3241</v>
      </c>
      <c r="SVH6" s="2888" t="s">
        <v>3241</v>
      </c>
      <c r="SVI6" s="2888" t="s">
        <v>3241</v>
      </c>
      <c r="SVJ6" s="2888" t="s">
        <v>3241</v>
      </c>
      <c r="SVK6" s="2888" t="s">
        <v>3241</v>
      </c>
      <c r="SVL6" s="2888" t="s">
        <v>3241</v>
      </c>
      <c r="SVM6" s="2888" t="s">
        <v>3241</v>
      </c>
      <c r="SVN6" s="2888" t="s">
        <v>3241</v>
      </c>
      <c r="SVO6" s="2888" t="s">
        <v>3241</v>
      </c>
      <c r="SVP6" s="2888" t="s">
        <v>3241</v>
      </c>
      <c r="SVQ6" s="2888" t="s">
        <v>3241</v>
      </c>
      <c r="SVR6" s="2888" t="s">
        <v>3241</v>
      </c>
      <c r="SVS6" s="2888" t="s">
        <v>3241</v>
      </c>
      <c r="SVT6" s="2888" t="s">
        <v>3241</v>
      </c>
      <c r="SVU6" s="2888" t="s">
        <v>3241</v>
      </c>
      <c r="SVV6" s="2888" t="s">
        <v>3241</v>
      </c>
      <c r="SVW6" s="2888" t="s">
        <v>3241</v>
      </c>
      <c r="SVX6" s="2888" t="s">
        <v>3241</v>
      </c>
      <c r="SVY6" s="2888" t="s">
        <v>3241</v>
      </c>
      <c r="SVZ6" s="2888" t="s">
        <v>3241</v>
      </c>
      <c r="SWA6" s="2888" t="s">
        <v>3241</v>
      </c>
      <c r="SWB6" s="2888" t="s">
        <v>3241</v>
      </c>
      <c r="SWC6" s="2888" t="s">
        <v>3241</v>
      </c>
      <c r="SWD6" s="2888" t="s">
        <v>3241</v>
      </c>
      <c r="SWE6" s="2888" t="s">
        <v>3241</v>
      </c>
      <c r="SWF6" s="2888" t="s">
        <v>3241</v>
      </c>
      <c r="SWG6" s="2888" t="s">
        <v>3241</v>
      </c>
      <c r="SWH6" s="2888" t="s">
        <v>3241</v>
      </c>
      <c r="SWI6" s="2888" t="s">
        <v>3241</v>
      </c>
      <c r="SWJ6" s="2888" t="s">
        <v>3241</v>
      </c>
      <c r="SWK6" s="2888" t="s">
        <v>3241</v>
      </c>
      <c r="SWL6" s="2888" t="s">
        <v>3241</v>
      </c>
      <c r="SWM6" s="2888" t="s">
        <v>3241</v>
      </c>
      <c r="SWN6" s="2888" t="s">
        <v>3241</v>
      </c>
      <c r="SWO6" s="2888" t="s">
        <v>3241</v>
      </c>
      <c r="SWP6" s="2888" t="s">
        <v>3241</v>
      </c>
      <c r="SWQ6" s="2888" t="s">
        <v>3241</v>
      </c>
      <c r="SWR6" s="2888" t="s">
        <v>3241</v>
      </c>
      <c r="SWS6" s="2888" t="s">
        <v>3241</v>
      </c>
      <c r="SWT6" s="2888" t="s">
        <v>3241</v>
      </c>
      <c r="SWU6" s="2888" t="s">
        <v>3241</v>
      </c>
      <c r="SWV6" s="2888" t="s">
        <v>3241</v>
      </c>
      <c r="SWW6" s="2888" t="s">
        <v>3241</v>
      </c>
      <c r="SWX6" s="2888" t="s">
        <v>3241</v>
      </c>
      <c r="SWY6" s="2888" t="s">
        <v>3241</v>
      </c>
      <c r="SWZ6" s="2888" t="s">
        <v>3241</v>
      </c>
      <c r="SXA6" s="2888" t="s">
        <v>3241</v>
      </c>
      <c r="SXB6" s="2888" t="s">
        <v>3241</v>
      </c>
      <c r="SXC6" s="2888" t="s">
        <v>3241</v>
      </c>
      <c r="SXD6" s="2888" t="s">
        <v>3241</v>
      </c>
      <c r="SXE6" s="2888" t="s">
        <v>3241</v>
      </c>
      <c r="SXF6" s="2888" t="s">
        <v>3241</v>
      </c>
      <c r="SXG6" s="2888" t="s">
        <v>3241</v>
      </c>
      <c r="SXH6" s="2888" t="s">
        <v>3241</v>
      </c>
      <c r="SXI6" s="2888" t="s">
        <v>3241</v>
      </c>
      <c r="SXJ6" s="2888" t="s">
        <v>3241</v>
      </c>
      <c r="SXK6" s="2888" t="s">
        <v>3241</v>
      </c>
      <c r="SXL6" s="2888" t="s">
        <v>3241</v>
      </c>
      <c r="SXM6" s="2888" t="s">
        <v>3241</v>
      </c>
      <c r="SXN6" s="2888" t="s">
        <v>3241</v>
      </c>
      <c r="SXO6" s="2888" t="s">
        <v>3241</v>
      </c>
      <c r="SXP6" s="2888" t="s">
        <v>3241</v>
      </c>
      <c r="SXQ6" s="2888" t="s">
        <v>3241</v>
      </c>
      <c r="SXR6" s="2888" t="s">
        <v>3241</v>
      </c>
      <c r="SXS6" s="2888" t="s">
        <v>3241</v>
      </c>
      <c r="SXT6" s="2888" t="s">
        <v>3241</v>
      </c>
      <c r="SXU6" s="2888" t="s">
        <v>3241</v>
      </c>
      <c r="SXV6" s="2888" t="s">
        <v>3241</v>
      </c>
      <c r="SXW6" s="2888" t="s">
        <v>3241</v>
      </c>
      <c r="SXX6" s="2888" t="s">
        <v>3241</v>
      </c>
      <c r="SXY6" s="2888" t="s">
        <v>3241</v>
      </c>
      <c r="SXZ6" s="2888" t="s">
        <v>3241</v>
      </c>
      <c r="SYA6" s="2888" t="s">
        <v>3241</v>
      </c>
      <c r="SYB6" s="2888" t="s">
        <v>3241</v>
      </c>
      <c r="SYC6" s="2888" t="s">
        <v>3241</v>
      </c>
      <c r="SYD6" s="2888" t="s">
        <v>3241</v>
      </c>
      <c r="SYE6" s="2888" t="s">
        <v>3241</v>
      </c>
      <c r="SYF6" s="2888" t="s">
        <v>3241</v>
      </c>
      <c r="SYG6" s="2888" t="s">
        <v>3241</v>
      </c>
      <c r="SYH6" s="2888" t="s">
        <v>3241</v>
      </c>
      <c r="SYI6" s="2888" t="s">
        <v>3241</v>
      </c>
      <c r="SYJ6" s="2888" t="s">
        <v>3241</v>
      </c>
      <c r="SYK6" s="2888" t="s">
        <v>3241</v>
      </c>
      <c r="SYL6" s="2888" t="s">
        <v>3241</v>
      </c>
      <c r="SYM6" s="2888" t="s">
        <v>3241</v>
      </c>
      <c r="SYN6" s="2888" t="s">
        <v>3241</v>
      </c>
      <c r="SYO6" s="2888" t="s">
        <v>3241</v>
      </c>
      <c r="SYP6" s="2888" t="s">
        <v>3241</v>
      </c>
      <c r="SYQ6" s="2888" t="s">
        <v>3241</v>
      </c>
      <c r="SYR6" s="2888" t="s">
        <v>3241</v>
      </c>
      <c r="SYS6" s="2888" t="s">
        <v>3241</v>
      </c>
      <c r="SYT6" s="2888" t="s">
        <v>3241</v>
      </c>
      <c r="SYU6" s="2888" t="s">
        <v>3241</v>
      </c>
      <c r="SYV6" s="2888" t="s">
        <v>3241</v>
      </c>
      <c r="SYW6" s="2888" t="s">
        <v>3241</v>
      </c>
      <c r="SYX6" s="2888" t="s">
        <v>3241</v>
      </c>
      <c r="SYY6" s="2888" t="s">
        <v>3241</v>
      </c>
      <c r="SYZ6" s="2888" t="s">
        <v>3241</v>
      </c>
      <c r="SZA6" s="2888" t="s">
        <v>3241</v>
      </c>
      <c r="SZB6" s="2888" t="s">
        <v>3241</v>
      </c>
      <c r="SZC6" s="2888" t="s">
        <v>3241</v>
      </c>
      <c r="SZD6" s="2888" t="s">
        <v>3241</v>
      </c>
      <c r="SZE6" s="2888" t="s">
        <v>3241</v>
      </c>
      <c r="SZF6" s="2888" t="s">
        <v>3241</v>
      </c>
      <c r="SZG6" s="2888" t="s">
        <v>3241</v>
      </c>
      <c r="SZH6" s="2888" t="s">
        <v>3241</v>
      </c>
      <c r="SZI6" s="2888" t="s">
        <v>3241</v>
      </c>
      <c r="SZJ6" s="2888" t="s">
        <v>3241</v>
      </c>
      <c r="SZK6" s="2888" t="s">
        <v>3241</v>
      </c>
      <c r="SZL6" s="2888" t="s">
        <v>3241</v>
      </c>
      <c r="SZM6" s="2888" t="s">
        <v>3241</v>
      </c>
      <c r="SZN6" s="2888" t="s">
        <v>3241</v>
      </c>
      <c r="SZO6" s="2888" t="s">
        <v>3241</v>
      </c>
      <c r="SZP6" s="2888" t="s">
        <v>3241</v>
      </c>
      <c r="SZQ6" s="2888" t="s">
        <v>3241</v>
      </c>
      <c r="SZR6" s="2888" t="s">
        <v>3241</v>
      </c>
      <c r="SZS6" s="2888" t="s">
        <v>3241</v>
      </c>
      <c r="SZT6" s="2888" t="s">
        <v>3241</v>
      </c>
      <c r="SZU6" s="2888" t="s">
        <v>3241</v>
      </c>
      <c r="SZV6" s="2888" t="s">
        <v>3241</v>
      </c>
      <c r="SZW6" s="2888" t="s">
        <v>3241</v>
      </c>
      <c r="SZX6" s="2888" t="s">
        <v>3241</v>
      </c>
      <c r="SZY6" s="2888" t="s">
        <v>3241</v>
      </c>
      <c r="SZZ6" s="2888" t="s">
        <v>3241</v>
      </c>
      <c r="TAA6" s="2888" t="s">
        <v>3241</v>
      </c>
      <c r="TAB6" s="2888" t="s">
        <v>3241</v>
      </c>
      <c r="TAC6" s="2888" t="s">
        <v>3241</v>
      </c>
      <c r="TAD6" s="2888" t="s">
        <v>3241</v>
      </c>
      <c r="TAE6" s="2888" t="s">
        <v>3241</v>
      </c>
      <c r="TAF6" s="2888" t="s">
        <v>3241</v>
      </c>
      <c r="TAG6" s="2888" t="s">
        <v>3241</v>
      </c>
      <c r="TAH6" s="2888" t="s">
        <v>3241</v>
      </c>
      <c r="TAI6" s="2888" t="s">
        <v>3241</v>
      </c>
      <c r="TAJ6" s="2888" t="s">
        <v>3241</v>
      </c>
      <c r="TAK6" s="2888" t="s">
        <v>3241</v>
      </c>
      <c r="TAL6" s="2888" t="s">
        <v>3241</v>
      </c>
      <c r="TAM6" s="2888" t="s">
        <v>3241</v>
      </c>
      <c r="TAN6" s="2888" t="s">
        <v>3241</v>
      </c>
      <c r="TAO6" s="2888" t="s">
        <v>3241</v>
      </c>
      <c r="TAP6" s="2888" t="s">
        <v>3241</v>
      </c>
      <c r="TAQ6" s="2888" t="s">
        <v>3241</v>
      </c>
      <c r="TAR6" s="2888" t="s">
        <v>3241</v>
      </c>
      <c r="TAS6" s="2888" t="s">
        <v>3241</v>
      </c>
      <c r="TAT6" s="2888" t="s">
        <v>3241</v>
      </c>
      <c r="TAU6" s="2888" t="s">
        <v>3241</v>
      </c>
      <c r="TAV6" s="2888" t="s">
        <v>3241</v>
      </c>
      <c r="TAW6" s="2888" t="s">
        <v>3241</v>
      </c>
      <c r="TAX6" s="2888" t="s">
        <v>3241</v>
      </c>
      <c r="TAY6" s="2888" t="s">
        <v>3241</v>
      </c>
      <c r="TAZ6" s="2888" t="s">
        <v>3241</v>
      </c>
      <c r="TBA6" s="2888" t="s">
        <v>3241</v>
      </c>
      <c r="TBB6" s="2888" t="s">
        <v>3241</v>
      </c>
      <c r="TBC6" s="2888" t="s">
        <v>3241</v>
      </c>
      <c r="TBD6" s="2888" t="s">
        <v>3241</v>
      </c>
      <c r="TBE6" s="2888" t="s">
        <v>3241</v>
      </c>
      <c r="TBF6" s="2888" t="s">
        <v>3241</v>
      </c>
      <c r="TBG6" s="2888" t="s">
        <v>3241</v>
      </c>
      <c r="TBH6" s="2888" t="s">
        <v>3241</v>
      </c>
      <c r="TBI6" s="2888" t="s">
        <v>3241</v>
      </c>
      <c r="TBJ6" s="2888" t="s">
        <v>3241</v>
      </c>
      <c r="TBK6" s="2888" t="s">
        <v>3241</v>
      </c>
      <c r="TBL6" s="2888" t="s">
        <v>3241</v>
      </c>
      <c r="TBM6" s="2888" t="s">
        <v>3241</v>
      </c>
      <c r="TBN6" s="2888" t="s">
        <v>3241</v>
      </c>
      <c r="TBO6" s="2888" t="s">
        <v>3241</v>
      </c>
      <c r="TBP6" s="2888" t="s">
        <v>3241</v>
      </c>
      <c r="TBQ6" s="2888" t="s">
        <v>3241</v>
      </c>
      <c r="TBR6" s="2888" t="s">
        <v>3241</v>
      </c>
      <c r="TBS6" s="2888" t="s">
        <v>3241</v>
      </c>
      <c r="TBT6" s="2888" t="s">
        <v>3241</v>
      </c>
      <c r="TBU6" s="2888" t="s">
        <v>3241</v>
      </c>
      <c r="TBV6" s="2888" t="s">
        <v>3241</v>
      </c>
      <c r="TBW6" s="2888" t="s">
        <v>3241</v>
      </c>
      <c r="TBX6" s="2888" t="s">
        <v>3241</v>
      </c>
      <c r="TBY6" s="2888" t="s">
        <v>3241</v>
      </c>
      <c r="TBZ6" s="2888" t="s">
        <v>3241</v>
      </c>
      <c r="TCA6" s="2888" t="s">
        <v>3241</v>
      </c>
      <c r="TCB6" s="2888" t="s">
        <v>3241</v>
      </c>
      <c r="TCC6" s="2888" t="s">
        <v>3241</v>
      </c>
      <c r="TCD6" s="2888" t="s">
        <v>3241</v>
      </c>
      <c r="TCE6" s="2888" t="s">
        <v>3241</v>
      </c>
      <c r="TCF6" s="2888" t="s">
        <v>3241</v>
      </c>
      <c r="TCG6" s="2888" t="s">
        <v>3241</v>
      </c>
      <c r="TCH6" s="2888" t="s">
        <v>3241</v>
      </c>
      <c r="TCI6" s="2888" t="s">
        <v>3241</v>
      </c>
      <c r="TCJ6" s="2888" t="s">
        <v>3241</v>
      </c>
      <c r="TCK6" s="2888" t="s">
        <v>3241</v>
      </c>
      <c r="TCL6" s="2888" t="s">
        <v>3241</v>
      </c>
      <c r="TCM6" s="2888" t="s">
        <v>3241</v>
      </c>
      <c r="TCN6" s="2888" t="s">
        <v>3241</v>
      </c>
      <c r="TCO6" s="2888" t="s">
        <v>3241</v>
      </c>
      <c r="TCP6" s="2888" t="s">
        <v>3241</v>
      </c>
      <c r="TCQ6" s="2888" t="s">
        <v>3241</v>
      </c>
      <c r="TCR6" s="2888" t="s">
        <v>3241</v>
      </c>
      <c r="TCS6" s="2888" t="s">
        <v>3241</v>
      </c>
      <c r="TCT6" s="2888" t="s">
        <v>3241</v>
      </c>
      <c r="TCU6" s="2888" t="s">
        <v>3241</v>
      </c>
      <c r="TCV6" s="2888" t="s">
        <v>3241</v>
      </c>
      <c r="TCW6" s="2888" t="s">
        <v>3241</v>
      </c>
      <c r="TCX6" s="2888" t="s">
        <v>3241</v>
      </c>
      <c r="TCY6" s="2888" t="s">
        <v>3241</v>
      </c>
      <c r="TCZ6" s="2888" t="s">
        <v>3241</v>
      </c>
      <c r="TDA6" s="2888" t="s">
        <v>3241</v>
      </c>
      <c r="TDB6" s="2888" t="s">
        <v>3241</v>
      </c>
      <c r="TDC6" s="2888" t="s">
        <v>3241</v>
      </c>
      <c r="TDD6" s="2888" t="s">
        <v>3241</v>
      </c>
      <c r="TDE6" s="2888" t="s">
        <v>3241</v>
      </c>
      <c r="TDF6" s="2888" t="s">
        <v>3241</v>
      </c>
      <c r="TDG6" s="2888" t="s">
        <v>3241</v>
      </c>
      <c r="TDH6" s="2888" t="s">
        <v>3241</v>
      </c>
      <c r="TDI6" s="2888" t="s">
        <v>3241</v>
      </c>
      <c r="TDJ6" s="2888" t="s">
        <v>3241</v>
      </c>
      <c r="TDK6" s="2888" t="s">
        <v>3241</v>
      </c>
      <c r="TDL6" s="2888" t="s">
        <v>3241</v>
      </c>
      <c r="TDM6" s="2888" t="s">
        <v>3241</v>
      </c>
      <c r="TDN6" s="2888" t="s">
        <v>3241</v>
      </c>
      <c r="TDO6" s="2888" t="s">
        <v>3241</v>
      </c>
      <c r="TDP6" s="2888" t="s">
        <v>3241</v>
      </c>
      <c r="TDQ6" s="2888" t="s">
        <v>3241</v>
      </c>
      <c r="TDR6" s="2888" t="s">
        <v>3241</v>
      </c>
      <c r="TDS6" s="2888" t="s">
        <v>3241</v>
      </c>
      <c r="TDT6" s="2888" t="s">
        <v>3241</v>
      </c>
      <c r="TDU6" s="2888" t="s">
        <v>3241</v>
      </c>
      <c r="TDV6" s="2888" t="s">
        <v>3241</v>
      </c>
      <c r="TDW6" s="2888" t="s">
        <v>3241</v>
      </c>
      <c r="TDX6" s="2888" t="s">
        <v>3241</v>
      </c>
      <c r="TDY6" s="2888" t="s">
        <v>3241</v>
      </c>
      <c r="TDZ6" s="2888" t="s">
        <v>3241</v>
      </c>
      <c r="TEA6" s="2888" t="s">
        <v>3241</v>
      </c>
      <c r="TEB6" s="2888" t="s">
        <v>3241</v>
      </c>
      <c r="TEC6" s="2888" t="s">
        <v>3241</v>
      </c>
      <c r="TED6" s="2888" t="s">
        <v>3241</v>
      </c>
      <c r="TEE6" s="2888" t="s">
        <v>3241</v>
      </c>
      <c r="TEF6" s="2888" t="s">
        <v>3241</v>
      </c>
      <c r="TEG6" s="2888" t="s">
        <v>3241</v>
      </c>
      <c r="TEH6" s="2888" t="s">
        <v>3241</v>
      </c>
      <c r="TEI6" s="2888" t="s">
        <v>3241</v>
      </c>
      <c r="TEJ6" s="2888" t="s">
        <v>3241</v>
      </c>
      <c r="TEK6" s="2888" t="s">
        <v>3241</v>
      </c>
      <c r="TEL6" s="2888" t="s">
        <v>3241</v>
      </c>
      <c r="TEM6" s="2888" t="s">
        <v>3241</v>
      </c>
      <c r="TEN6" s="2888" t="s">
        <v>3241</v>
      </c>
      <c r="TEO6" s="2888" t="s">
        <v>3241</v>
      </c>
      <c r="TEP6" s="2888" t="s">
        <v>3241</v>
      </c>
      <c r="TEQ6" s="2888" t="s">
        <v>3241</v>
      </c>
      <c r="TER6" s="2888" t="s">
        <v>3241</v>
      </c>
      <c r="TES6" s="2888" t="s">
        <v>3241</v>
      </c>
      <c r="TET6" s="2888" t="s">
        <v>3241</v>
      </c>
      <c r="TEU6" s="2888" t="s">
        <v>3241</v>
      </c>
      <c r="TEV6" s="2888" t="s">
        <v>3241</v>
      </c>
      <c r="TEW6" s="2888" t="s">
        <v>3241</v>
      </c>
      <c r="TEX6" s="2888" t="s">
        <v>3241</v>
      </c>
      <c r="TEY6" s="2888" t="s">
        <v>3241</v>
      </c>
      <c r="TEZ6" s="2888" t="s">
        <v>3241</v>
      </c>
      <c r="TFA6" s="2888" t="s">
        <v>3241</v>
      </c>
      <c r="TFB6" s="2888" t="s">
        <v>3241</v>
      </c>
      <c r="TFC6" s="2888" t="s">
        <v>3241</v>
      </c>
      <c r="TFD6" s="2888" t="s">
        <v>3241</v>
      </c>
      <c r="TFE6" s="2888" t="s">
        <v>3241</v>
      </c>
      <c r="TFF6" s="2888" t="s">
        <v>3241</v>
      </c>
      <c r="TFG6" s="2888" t="s">
        <v>3241</v>
      </c>
      <c r="TFH6" s="2888" t="s">
        <v>3241</v>
      </c>
      <c r="TFI6" s="2888" t="s">
        <v>3241</v>
      </c>
      <c r="TFJ6" s="2888" t="s">
        <v>3241</v>
      </c>
      <c r="TFK6" s="2888" t="s">
        <v>3241</v>
      </c>
      <c r="TFL6" s="2888" t="s">
        <v>3241</v>
      </c>
      <c r="TFM6" s="2888" t="s">
        <v>3241</v>
      </c>
      <c r="TFN6" s="2888" t="s">
        <v>3241</v>
      </c>
      <c r="TFO6" s="2888" t="s">
        <v>3241</v>
      </c>
      <c r="TFP6" s="2888" t="s">
        <v>3241</v>
      </c>
      <c r="TFQ6" s="2888" t="s">
        <v>3241</v>
      </c>
      <c r="TFR6" s="2888" t="s">
        <v>3241</v>
      </c>
      <c r="TFS6" s="2888" t="s">
        <v>3241</v>
      </c>
      <c r="TFT6" s="2888" t="s">
        <v>3241</v>
      </c>
      <c r="TFU6" s="2888" t="s">
        <v>3241</v>
      </c>
      <c r="TFV6" s="2888" t="s">
        <v>3241</v>
      </c>
      <c r="TFW6" s="2888" t="s">
        <v>3241</v>
      </c>
      <c r="TFX6" s="2888" t="s">
        <v>3241</v>
      </c>
      <c r="TFY6" s="2888" t="s">
        <v>3241</v>
      </c>
      <c r="TFZ6" s="2888" t="s">
        <v>3241</v>
      </c>
      <c r="TGA6" s="2888" t="s">
        <v>3241</v>
      </c>
      <c r="TGB6" s="2888" t="s">
        <v>3241</v>
      </c>
      <c r="TGC6" s="2888" t="s">
        <v>3241</v>
      </c>
      <c r="TGD6" s="2888" t="s">
        <v>3241</v>
      </c>
      <c r="TGE6" s="2888" t="s">
        <v>3241</v>
      </c>
      <c r="TGF6" s="2888" t="s">
        <v>3241</v>
      </c>
      <c r="TGG6" s="2888" t="s">
        <v>3241</v>
      </c>
      <c r="TGH6" s="2888" t="s">
        <v>3241</v>
      </c>
      <c r="TGI6" s="2888" t="s">
        <v>3241</v>
      </c>
      <c r="TGJ6" s="2888" t="s">
        <v>3241</v>
      </c>
      <c r="TGK6" s="2888" t="s">
        <v>3241</v>
      </c>
      <c r="TGL6" s="2888" t="s">
        <v>3241</v>
      </c>
      <c r="TGM6" s="2888" t="s">
        <v>3241</v>
      </c>
      <c r="TGN6" s="2888" t="s">
        <v>3241</v>
      </c>
      <c r="TGO6" s="2888" t="s">
        <v>3241</v>
      </c>
      <c r="TGP6" s="2888" t="s">
        <v>3241</v>
      </c>
      <c r="TGQ6" s="2888" t="s">
        <v>3241</v>
      </c>
      <c r="TGR6" s="2888" t="s">
        <v>3241</v>
      </c>
      <c r="TGS6" s="2888" t="s">
        <v>3241</v>
      </c>
      <c r="TGT6" s="2888" t="s">
        <v>3241</v>
      </c>
      <c r="TGU6" s="2888" t="s">
        <v>3241</v>
      </c>
      <c r="TGV6" s="2888" t="s">
        <v>3241</v>
      </c>
      <c r="TGW6" s="2888" t="s">
        <v>3241</v>
      </c>
      <c r="TGX6" s="2888" t="s">
        <v>3241</v>
      </c>
      <c r="TGY6" s="2888" t="s">
        <v>3241</v>
      </c>
      <c r="TGZ6" s="2888" t="s">
        <v>3241</v>
      </c>
      <c r="THA6" s="2888" t="s">
        <v>3241</v>
      </c>
      <c r="THB6" s="2888" t="s">
        <v>3241</v>
      </c>
      <c r="THC6" s="2888" t="s">
        <v>3241</v>
      </c>
      <c r="THD6" s="2888" t="s">
        <v>3241</v>
      </c>
      <c r="THE6" s="2888" t="s">
        <v>3241</v>
      </c>
      <c r="THF6" s="2888" t="s">
        <v>3241</v>
      </c>
      <c r="THG6" s="2888" t="s">
        <v>3241</v>
      </c>
      <c r="THH6" s="2888" t="s">
        <v>3241</v>
      </c>
      <c r="THI6" s="2888" t="s">
        <v>3241</v>
      </c>
      <c r="THJ6" s="2888" t="s">
        <v>3241</v>
      </c>
      <c r="THK6" s="2888" t="s">
        <v>3241</v>
      </c>
      <c r="THL6" s="2888" t="s">
        <v>3241</v>
      </c>
      <c r="THM6" s="2888" t="s">
        <v>3241</v>
      </c>
      <c r="THN6" s="2888" t="s">
        <v>3241</v>
      </c>
      <c r="THO6" s="2888" t="s">
        <v>3241</v>
      </c>
      <c r="THP6" s="2888" t="s">
        <v>3241</v>
      </c>
      <c r="THQ6" s="2888" t="s">
        <v>3241</v>
      </c>
      <c r="THR6" s="2888" t="s">
        <v>3241</v>
      </c>
      <c r="THS6" s="2888" t="s">
        <v>3241</v>
      </c>
      <c r="THT6" s="2888" t="s">
        <v>3241</v>
      </c>
      <c r="THU6" s="2888" t="s">
        <v>3241</v>
      </c>
      <c r="THV6" s="2888" t="s">
        <v>3241</v>
      </c>
      <c r="THW6" s="2888" t="s">
        <v>3241</v>
      </c>
      <c r="THX6" s="2888" t="s">
        <v>3241</v>
      </c>
      <c r="THY6" s="2888" t="s">
        <v>3241</v>
      </c>
      <c r="THZ6" s="2888" t="s">
        <v>3241</v>
      </c>
      <c r="TIA6" s="2888" t="s">
        <v>3241</v>
      </c>
      <c r="TIB6" s="2888" t="s">
        <v>3241</v>
      </c>
      <c r="TIC6" s="2888" t="s">
        <v>3241</v>
      </c>
      <c r="TID6" s="2888" t="s">
        <v>3241</v>
      </c>
      <c r="TIE6" s="2888" t="s">
        <v>3241</v>
      </c>
      <c r="TIF6" s="2888" t="s">
        <v>3241</v>
      </c>
      <c r="TIG6" s="2888" t="s">
        <v>3241</v>
      </c>
      <c r="TIH6" s="2888" t="s">
        <v>3241</v>
      </c>
      <c r="TII6" s="2888" t="s">
        <v>3241</v>
      </c>
      <c r="TIJ6" s="2888" t="s">
        <v>3241</v>
      </c>
      <c r="TIK6" s="2888" t="s">
        <v>3241</v>
      </c>
      <c r="TIL6" s="2888" t="s">
        <v>3241</v>
      </c>
      <c r="TIM6" s="2888" t="s">
        <v>3241</v>
      </c>
      <c r="TIN6" s="2888" t="s">
        <v>3241</v>
      </c>
      <c r="TIO6" s="2888" t="s">
        <v>3241</v>
      </c>
      <c r="TIP6" s="2888" t="s">
        <v>3241</v>
      </c>
      <c r="TIQ6" s="2888" t="s">
        <v>3241</v>
      </c>
      <c r="TIR6" s="2888" t="s">
        <v>3241</v>
      </c>
      <c r="TIS6" s="2888" t="s">
        <v>3241</v>
      </c>
      <c r="TIT6" s="2888" t="s">
        <v>3241</v>
      </c>
      <c r="TIU6" s="2888" t="s">
        <v>3241</v>
      </c>
      <c r="TIV6" s="2888" t="s">
        <v>3241</v>
      </c>
      <c r="TIW6" s="2888" t="s">
        <v>3241</v>
      </c>
      <c r="TIX6" s="2888" t="s">
        <v>3241</v>
      </c>
      <c r="TIY6" s="2888" t="s">
        <v>3241</v>
      </c>
      <c r="TIZ6" s="2888" t="s">
        <v>3241</v>
      </c>
      <c r="TJA6" s="2888" t="s">
        <v>3241</v>
      </c>
      <c r="TJB6" s="2888" t="s">
        <v>3241</v>
      </c>
      <c r="TJC6" s="2888" t="s">
        <v>3241</v>
      </c>
      <c r="TJD6" s="2888" t="s">
        <v>3241</v>
      </c>
      <c r="TJE6" s="2888" t="s">
        <v>3241</v>
      </c>
      <c r="TJF6" s="2888" t="s">
        <v>3241</v>
      </c>
      <c r="TJG6" s="2888" t="s">
        <v>3241</v>
      </c>
      <c r="TJH6" s="2888" t="s">
        <v>3241</v>
      </c>
      <c r="TJI6" s="2888" t="s">
        <v>3241</v>
      </c>
      <c r="TJJ6" s="2888" t="s">
        <v>3241</v>
      </c>
      <c r="TJK6" s="2888" t="s">
        <v>3241</v>
      </c>
      <c r="TJL6" s="2888" t="s">
        <v>3241</v>
      </c>
      <c r="TJM6" s="2888" t="s">
        <v>3241</v>
      </c>
      <c r="TJN6" s="2888" t="s">
        <v>3241</v>
      </c>
      <c r="TJO6" s="2888" t="s">
        <v>3241</v>
      </c>
      <c r="TJP6" s="2888" t="s">
        <v>3241</v>
      </c>
      <c r="TJQ6" s="2888" t="s">
        <v>3241</v>
      </c>
      <c r="TJR6" s="2888" t="s">
        <v>3241</v>
      </c>
      <c r="TJS6" s="2888" t="s">
        <v>3241</v>
      </c>
      <c r="TJT6" s="2888" t="s">
        <v>3241</v>
      </c>
      <c r="TJU6" s="2888" t="s">
        <v>3241</v>
      </c>
      <c r="TJV6" s="2888" t="s">
        <v>3241</v>
      </c>
      <c r="TJW6" s="2888" t="s">
        <v>3241</v>
      </c>
      <c r="TJX6" s="2888" t="s">
        <v>3241</v>
      </c>
      <c r="TJY6" s="2888" t="s">
        <v>3241</v>
      </c>
      <c r="TJZ6" s="2888" t="s">
        <v>3241</v>
      </c>
      <c r="TKA6" s="2888" t="s">
        <v>3241</v>
      </c>
      <c r="TKB6" s="2888" t="s">
        <v>3241</v>
      </c>
      <c r="TKC6" s="2888" t="s">
        <v>3241</v>
      </c>
      <c r="TKD6" s="2888" t="s">
        <v>3241</v>
      </c>
      <c r="TKE6" s="2888" t="s">
        <v>3241</v>
      </c>
      <c r="TKF6" s="2888" t="s">
        <v>3241</v>
      </c>
      <c r="TKG6" s="2888" t="s">
        <v>3241</v>
      </c>
      <c r="TKH6" s="2888" t="s">
        <v>3241</v>
      </c>
      <c r="TKI6" s="2888" t="s">
        <v>3241</v>
      </c>
      <c r="TKJ6" s="2888" t="s">
        <v>3241</v>
      </c>
      <c r="TKK6" s="2888" t="s">
        <v>3241</v>
      </c>
      <c r="TKL6" s="2888" t="s">
        <v>3241</v>
      </c>
      <c r="TKM6" s="2888" t="s">
        <v>3241</v>
      </c>
      <c r="TKN6" s="2888" t="s">
        <v>3241</v>
      </c>
      <c r="TKO6" s="2888" t="s">
        <v>3241</v>
      </c>
      <c r="TKP6" s="2888" t="s">
        <v>3241</v>
      </c>
      <c r="TKQ6" s="2888" t="s">
        <v>3241</v>
      </c>
      <c r="TKR6" s="2888" t="s">
        <v>3241</v>
      </c>
      <c r="TKS6" s="2888" t="s">
        <v>3241</v>
      </c>
      <c r="TKT6" s="2888" t="s">
        <v>3241</v>
      </c>
      <c r="TKU6" s="2888" t="s">
        <v>3241</v>
      </c>
      <c r="TKV6" s="2888" t="s">
        <v>3241</v>
      </c>
      <c r="TKW6" s="2888" t="s">
        <v>3241</v>
      </c>
      <c r="TKX6" s="2888" t="s">
        <v>3241</v>
      </c>
      <c r="TKY6" s="2888" t="s">
        <v>3241</v>
      </c>
      <c r="TKZ6" s="2888" t="s">
        <v>3241</v>
      </c>
      <c r="TLA6" s="2888" t="s">
        <v>3241</v>
      </c>
      <c r="TLB6" s="2888" t="s">
        <v>3241</v>
      </c>
      <c r="TLC6" s="2888" t="s">
        <v>3241</v>
      </c>
      <c r="TLD6" s="2888" t="s">
        <v>3241</v>
      </c>
      <c r="TLE6" s="2888" t="s">
        <v>3241</v>
      </c>
      <c r="TLF6" s="2888" t="s">
        <v>3241</v>
      </c>
      <c r="TLG6" s="2888" t="s">
        <v>3241</v>
      </c>
      <c r="TLH6" s="2888" t="s">
        <v>3241</v>
      </c>
      <c r="TLI6" s="2888" t="s">
        <v>3241</v>
      </c>
      <c r="TLJ6" s="2888" t="s">
        <v>3241</v>
      </c>
      <c r="TLK6" s="2888" t="s">
        <v>3241</v>
      </c>
      <c r="TLL6" s="2888" t="s">
        <v>3241</v>
      </c>
      <c r="TLM6" s="2888" t="s">
        <v>3241</v>
      </c>
      <c r="TLN6" s="2888" t="s">
        <v>3241</v>
      </c>
      <c r="TLO6" s="2888" t="s">
        <v>3241</v>
      </c>
      <c r="TLP6" s="2888" t="s">
        <v>3241</v>
      </c>
      <c r="TLQ6" s="2888" t="s">
        <v>3241</v>
      </c>
      <c r="TLR6" s="2888" t="s">
        <v>3241</v>
      </c>
      <c r="TLS6" s="2888" t="s">
        <v>3241</v>
      </c>
      <c r="TLT6" s="2888" t="s">
        <v>3241</v>
      </c>
      <c r="TLU6" s="2888" t="s">
        <v>3241</v>
      </c>
      <c r="TLV6" s="2888" t="s">
        <v>3241</v>
      </c>
      <c r="TLW6" s="2888" t="s">
        <v>3241</v>
      </c>
      <c r="TLX6" s="2888" t="s">
        <v>3241</v>
      </c>
      <c r="TLY6" s="2888" t="s">
        <v>3241</v>
      </c>
      <c r="TLZ6" s="2888" t="s">
        <v>3241</v>
      </c>
      <c r="TMA6" s="2888" t="s">
        <v>3241</v>
      </c>
      <c r="TMB6" s="2888" t="s">
        <v>3241</v>
      </c>
      <c r="TMC6" s="2888" t="s">
        <v>3241</v>
      </c>
      <c r="TMD6" s="2888" t="s">
        <v>3241</v>
      </c>
      <c r="TME6" s="2888" t="s">
        <v>3241</v>
      </c>
      <c r="TMF6" s="2888" t="s">
        <v>3241</v>
      </c>
      <c r="TMG6" s="2888" t="s">
        <v>3241</v>
      </c>
      <c r="TMH6" s="2888" t="s">
        <v>3241</v>
      </c>
      <c r="TMI6" s="2888" t="s">
        <v>3241</v>
      </c>
      <c r="TMJ6" s="2888" t="s">
        <v>3241</v>
      </c>
      <c r="TMK6" s="2888" t="s">
        <v>3241</v>
      </c>
      <c r="TML6" s="2888" t="s">
        <v>3241</v>
      </c>
      <c r="TMM6" s="2888" t="s">
        <v>3241</v>
      </c>
      <c r="TMN6" s="2888" t="s">
        <v>3241</v>
      </c>
      <c r="TMO6" s="2888" t="s">
        <v>3241</v>
      </c>
      <c r="TMP6" s="2888" t="s">
        <v>3241</v>
      </c>
      <c r="TMQ6" s="2888" t="s">
        <v>3241</v>
      </c>
      <c r="TMR6" s="2888" t="s">
        <v>3241</v>
      </c>
      <c r="TMS6" s="2888" t="s">
        <v>3241</v>
      </c>
      <c r="TMT6" s="2888" t="s">
        <v>3241</v>
      </c>
      <c r="TMU6" s="2888" t="s">
        <v>3241</v>
      </c>
      <c r="TMV6" s="2888" t="s">
        <v>3241</v>
      </c>
      <c r="TMW6" s="2888" t="s">
        <v>3241</v>
      </c>
      <c r="TMX6" s="2888" t="s">
        <v>3241</v>
      </c>
      <c r="TMY6" s="2888" t="s">
        <v>3241</v>
      </c>
      <c r="TMZ6" s="2888" t="s">
        <v>3241</v>
      </c>
      <c r="TNA6" s="2888" t="s">
        <v>3241</v>
      </c>
      <c r="TNB6" s="2888" t="s">
        <v>3241</v>
      </c>
      <c r="TNC6" s="2888" t="s">
        <v>3241</v>
      </c>
      <c r="TND6" s="2888" t="s">
        <v>3241</v>
      </c>
      <c r="TNE6" s="2888" t="s">
        <v>3241</v>
      </c>
      <c r="TNF6" s="2888" t="s">
        <v>3241</v>
      </c>
      <c r="TNG6" s="2888" t="s">
        <v>3241</v>
      </c>
      <c r="TNH6" s="2888" t="s">
        <v>3241</v>
      </c>
      <c r="TNI6" s="2888" t="s">
        <v>3241</v>
      </c>
      <c r="TNJ6" s="2888" t="s">
        <v>3241</v>
      </c>
      <c r="TNK6" s="2888" t="s">
        <v>3241</v>
      </c>
      <c r="TNL6" s="2888" t="s">
        <v>3241</v>
      </c>
      <c r="TNM6" s="2888" t="s">
        <v>3241</v>
      </c>
      <c r="TNN6" s="2888" t="s">
        <v>3241</v>
      </c>
      <c r="TNO6" s="2888" t="s">
        <v>3241</v>
      </c>
      <c r="TNP6" s="2888" t="s">
        <v>3241</v>
      </c>
      <c r="TNQ6" s="2888" t="s">
        <v>3241</v>
      </c>
      <c r="TNR6" s="2888" t="s">
        <v>3241</v>
      </c>
      <c r="TNS6" s="2888" t="s">
        <v>3241</v>
      </c>
      <c r="TNT6" s="2888" t="s">
        <v>3241</v>
      </c>
      <c r="TNU6" s="2888" t="s">
        <v>3241</v>
      </c>
      <c r="TNV6" s="2888" t="s">
        <v>3241</v>
      </c>
      <c r="TNW6" s="2888" t="s">
        <v>3241</v>
      </c>
      <c r="TNX6" s="2888" t="s">
        <v>3241</v>
      </c>
      <c r="TNY6" s="2888" t="s">
        <v>3241</v>
      </c>
      <c r="TNZ6" s="2888" t="s">
        <v>3241</v>
      </c>
      <c r="TOA6" s="2888" t="s">
        <v>3241</v>
      </c>
      <c r="TOB6" s="2888" t="s">
        <v>3241</v>
      </c>
      <c r="TOC6" s="2888" t="s">
        <v>3241</v>
      </c>
      <c r="TOD6" s="2888" t="s">
        <v>3241</v>
      </c>
      <c r="TOE6" s="2888" t="s">
        <v>3241</v>
      </c>
      <c r="TOF6" s="2888" t="s">
        <v>3241</v>
      </c>
      <c r="TOG6" s="2888" t="s">
        <v>3241</v>
      </c>
      <c r="TOH6" s="2888" t="s">
        <v>3241</v>
      </c>
      <c r="TOI6" s="2888" t="s">
        <v>3241</v>
      </c>
      <c r="TOJ6" s="2888" t="s">
        <v>3241</v>
      </c>
      <c r="TOK6" s="2888" t="s">
        <v>3241</v>
      </c>
      <c r="TOL6" s="2888" t="s">
        <v>3241</v>
      </c>
      <c r="TOM6" s="2888" t="s">
        <v>3241</v>
      </c>
      <c r="TON6" s="2888" t="s">
        <v>3241</v>
      </c>
      <c r="TOO6" s="2888" t="s">
        <v>3241</v>
      </c>
      <c r="TOP6" s="2888" t="s">
        <v>3241</v>
      </c>
      <c r="TOQ6" s="2888" t="s">
        <v>3241</v>
      </c>
      <c r="TOR6" s="2888" t="s">
        <v>3241</v>
      </c>
      <c r="TOS6" s="2888" t="s">
        <v>3241</v>
      </c>
      <c r="TOT6" s="2888" t="s">
        <v>3241</v>
      </c>
      <c r="TOU6" s="2888" t="s">
        <v>3241</v>
      </c>
      <c r="TOV6" s="2888" t="s">
        <v>3241</v>
      </c>
      <c r="TOW6" s="2888" t="s">
        <v>3241</v>
      </c>
      <c r="TOX6" s="2888" t="s">
        <v>3241</v>
      </c>
      <c r="TOY6" s="2888" t="s">
        <v>3241</v>
      </c>
      <c r="TOZ6" s="2888" t="s">
        <v>3241</v>
      </c>
      <c r="TPA6" s="2888" t="s">
        <v>3241</v>
      </c>
      <c r="TPB6" s="2888" t="s">
        <v>3241</v>
      </c>
      <c r="TPC6" s="2888" t="s">
        <v>3241</v>
      </c>
      <c r="TPD6" s="2888" t="s">
        <v>3241</v>
      </c>
      <c r="TPE6" s="2888" t="s">
        <v>3241</v>
      </c>
      <c r="TPF6" s="2888" t="s">
        <v>3241</v>
      </c>
      <c r="TPG6" s="2888" t="s">
        <v>3241</v>
      </c>
      <c r="TPH6" s="2888" t="s">
        <v>3241</v>
      </c>
      <c r="TPI6" s="2888" t="s">
        <v>3241</v>
      </c>
      <c r="TPJ6" s="2888" t="s">
        <v>3241</v>
      </c>
      <c r="TPK6" s="2888" t="s">
        <v>3241</v>
      </c>
      <c r="TPL6" s="2888" t="s">
        <v>3241</v>
      </c>
      <c r="TPM6" s="2888" t="s">
        <v>3241</v>
      </c>
      <c r="TPN6" s="2888" t="s">
        <v>3241</v>
      </c>
      <c r="TPO6" s="2888" t="s">
        <v>3241</v>
      </c>
      <c r="TPP6" s="2888" t="s">
        <v>3241</v>
      </c>
      <c r="TPQ6" s="2888" t="s">
        <v>3241</v>
      </c>
      <c r="TPR6" s="2888" t="s">
        <v>3241</v>
      </c>
      <c r="TPS6" s="2888" t="s">
        <v>3241</v>
      </c>
      <c r="TPT6" s="2888" t="s">
        <v>3241</v>
      </c>
      <c r="TPU6" s="2888" t="s">
        <v>3241</v>
      </c>
      <c r="TPV6" s="2888" t="s">
        <v>3241</v>
      </c>
      <c r="TPW6" s="2888" t="s">
        <v>3241</v>
      </c>
      <c r="TPX6" s="2888" t="s">
        <v>3241</v>
      </c>
      <c r="TPY6" s="2888" t="s">
        <v>3241</v>
      </c>
      <c r="TPZ6" s="2888" t="s">
        <v>3241</v>
      </c>
      <c r="TQA6" s="2888" t="s">
        <v>3241</v>
      </c>
      <c r="TQB6" s="2888" t="s">
        <v>3241</v>
      </c>
      <c r="TQC6" s="2888" t="s">
        <v>3241</v>
      </c>
      <c r="TQD6" s="2888" t="s">
        <v>3241</v>
      </c>
      <c r="TQE6" s="2888" t="s">
        <v>3241</v>
      </c>
      <c r="TQF6" s="2888" t="s">
        <v>3241</v>
      </c>
      <c r="TQG6" s="2888" t="s">
        <v>3241</v>
      </c>
      <c r="TQH6" s="2888" t="s">
        <v>3241</v>
      </c>
      <c r="TQI6" s="2888" t="s">
        <v>3241</v>
      </c>
      <c r="TQJ6" s="2888" t="s">
        <v>3241</v>
      </c>
      <c r="TQK6" s="2888" t="s">
        <v>3241</v>
      </c>
      <c r="TQL6" s="2888" t="s">
        <v>3241</v>
      </c>
      <c r="TQM6" s="2888" t="s">
        <v>3241</v>
      </c>
      <c r="TQN6" s="2888" t="s">
        <v>3241</v>
      </c>
      <c r="TQO6" s="2888" t="s">
        <v>3241</v>
      </c>
      <c r="TQP6" s="2888" t="s">
        <v>3241</v>
      </c>
      <c r="TQQ6" s="2888" t="s">
        <v>3241</v>
      </c>
      <c r="TQR6" s="2888" t="s">
        <v>3241</v>
      </c>
      <c r="TQS6" s="2888" t="s">
        <v>3241</v>
      </c>
      <c r="TQT6" s="2888" t="s">
        <v>3241</v>
      </c>
      <c r="TQU6" s="2888" t="s">
        <v>3241</v>
      </c>
      <c r="TQV6" s="2888" t="s">
        <v>3241</v>
      </c>
      <c r="TQW6" s="2888" t="s">
        <v>3241</v>
      </c>
      <c r="TQX6" s="2888" t="s">
        <v>3241</v>
      </c>
      <c r="TQY6" s="2888" t="s">
        <v>3241</v>
      </c>
      <c r="TQZ6" s="2888" t="s">
        <v>3241</v>
      </c>
      <c r="TRA6" s="2888" t="s">
        <v>3241</v>
      </c>
      <c r="TRB6" s="2888" t="s">
        <v>3241</v>
      </c>
      <c r="TRC6" s="2888" t="s">
        <v>3241</v>
      </c>
      <c r="TRD6" s="2888" t="s">
        <v>3241</v>
      </c>
      <c r="TRE6" s="2888" t="s">
        <v>3241</v>
      </c>
      <c r="TRF6" s="2888" t="s">
        <v>3241</v>
      </c>
      <c r="TRG6" s="2888" t="s">
        <v>3241</v>
      </c>
      <c r="TRH6" s="2888" t="s">
        <v>3241</v>
      </c>
      <c r="TRI6" s="2888" t="s">
        <v>3241</v>
      </c>
      <c r="TRJ6" s="2888" t="s">
        <v>3241</v>
      </c>
      <c r="TRK6" s="2888" t="s">
        <v>3241</v>
      </c>
      <c r="TRL6" s="2888" t="s">
        <v>3241</v>
      </c>
      <c r="TRM6" s="2888" t="s">
        <v>3241</v>
      </c>
      <c r="TRN6" s="2888" t="s">
        <v>3241</v>
      </c>
      <c r="TRO6" s="2888" t="s">
        <v>3241</v>
      </c>
      <c r="TRP6" s="2888" t="s">
        <v>3241</v>
      </c>
      <c r="TRQ6" s="2888" t="s">
        <v>3241</v>
      </c>
      <c r="TRR6" s="2888" t="s">
        <v>3241</v>
      </c>
      <c r="TRS6" s="2888" t="s">
        <v>3241</v>
      </c>
      <c r="TRT6" s="2888" t="s">
        <v>3241</v>
      </c>
      <c r="TRU6" s="2888" t="s">
        <v>3241</v>
      </c>
      <c r="TRV6" s="2888" t="s">
        <v>3241</v>
      </c>
      <c r="TRW6" s="2888" t="s">
        <v>3241</v>
      </c>
      <c r="TRX6" s="2888" t="s">
        <v>3241</v>
      </c>
      <c r="TRY6" s="2888" t="s">
        <v>3241</v>
      </c>
      <c r="TRZ6" s="2888" t="s">
        <v>3241</v>
      </c>
      <c r="TSA6" s="2888" t="s">
        <v>3241</v>
      </c>
      <c r="TSB6" s="2888" t="s">
        <v>3241</v>
      </c>
      <c r="TSC6" s="2888" t="s">
        <v>3241</v>
      </c>
      <c r="TSD6" s="2888" t="s">
        <v>3241</v>
      </c>
      <c r="TSE6" s="2888" t="s">
        <v>3241</v>
      </c>
      <c r="TSF6" s="2888" t="s">
        <v>3241</v>
      </c>
      <c r="TSG6" s="2888" t="s">
        <v>3241</v>
      </c>
      <c r="TSH6" s="2888" t="s">
        <v>3241</v>
      </c>
      <c r="TSI6" s="2888" t="s">
        <v>3241</v>
      </c>
      <c r="TSJ6" s="2888" t="s">
        <v>3241</v>
      </c>
      <c r="TSK6" s="2888" t="s">
        <v>3241</v>
      </c>
      <c r="TSL6" s="2888" t="s">
        <v>3241</v>
      </c>
      <c r="TSM6" s="2888" t="s">
        <v>3241</v>
      </c>
      <c r="TSN6" s="2888" t="s">
        <v>3241</v>
      </c>
      <c r="TSO6" s="2888" t="s">
        <v>3241</v>
      </c>
      <c r="TSP6" s="2888" t="s">
        <v>3241</v>
      </c>
      <c r="TSQ6" s="2888" t="s">
        <v>3241</v>
      </c>
      <c r="TSR6" s="2888" t="s">
        <v>3241</v>
      </c>
      <c r="TSS6" s="2888" t="s">
        <v>3241</v>
      </c>
      <c r="TST6" s="2888" t="s">
        <v>3241</v>
      </c>
      <c r="TSU6" s="2888" t="s">
        <v>3241</v>
      </c>
      <c r="TSV6" s="2888" t="s">
        <v>3241</v>
      </c>
      <c r="TSW6" s="2888" t="s">
        <v>3241</v>
      </c>
      <c r="TSX6" s="2888" t="s">
        <v>3241</v>
      </c>
      <c r="TSY6" s="2888" t="s">
        <v>3241</v>
      </c>
      <c r="TSZ6" s="2888" t="s">
        <v>3241</v>
      </c>
      <c r="TTA6" s="2888" t="s">
        <v>3241</v>
      </c>
      <c r="TTB6" s="2888" t="s">
        <v>3241</v>
      </c>
      <c r="TTC6" s="2888" t="s">
        <v>3241</v>
      </c>
      <c r="TTD6" s="2888" t="s">
        <v>3241</v>
      </c>
      <c r="TTE6" s="2888" t="s">
        <v>3241</v>
      </c>
      <c r="TTF6" s="2888" t="s">
        <v>3241</v>
      </c>
      <c r="TTG6" s="2888" t="s">
        <v>3241</v>
      </c>
      <c r="TTH6" s="2888" t="s">
        <v>3241</v>
      </c>
      <c r="TTI6" s="2888" t="s">
        <v>3241</v>
      </c>
      <c r="TTJ6" s="2888" t="s">
        <v>3241</v>
      </c>
      <c r="TTK6" s="2888" t="s">
        <v>3241</v>
      </c>
      <c r="TTL6" s="2888" t="s">
        <v>3241</v>
      </c>
      <c r="TTM6" s="2888" t="s">
        <v>3241</v>
      </c>
      <c r="TTN6" s="2888" t="s">
        <v>3241</v>
      </c>
      <c r="TTO6" s="2888" t="s">
        <v>3241</v>
      </c>
      <c r="TTP6" s="2888" t="s">
        <v>3241</v>
      </c>
      <c r="TTQ6" s="2888" t="s">
        <v>3241</v>
      </c>
      <c r="TTR6" s="2888" t="s">
        <v>3241</v>
      </c>
      <c r="TTS6" s="2888" t="s">
        <v>3241</v>
      </c>
      <c r="TTT6" s="2888" t="s">
        <v>3241</v>
      </c>
      <c r="TTU6" s="2888" t="s">
        <v>3241</v>
      </c>
      <c r="TTV6" s="2888" t="s">
        <v>3241</v>
      </c>
      <c r="TTW6" s="2888" t="s">
        <v>3241</v>
      </c>
      <c r="TTX6" s="2888" t="s">
        <v>3241</v>
      </c>
      <c r="TTY6" s="2888" t="s">
        <v>3241</v>
      </c>
      <c r="TTZ6" s="2888" t="s">
        <v>3241</v>
      </c>
      <c r="TUA6" s="2888" t="s">
        <v>3241</v>
      </c>
      <c r="TUB6" s="2888" t="s">
        <v>3241</v>
      </c>
      <c r="TUC6" s="2888" t="s">
        <v>3241</v>
      </c>
      <c r="TUD6" s="2888" t="s">
        <v>3241</v>
      </c>
      <c r="TUE6" s="2888" t="s">
        <v>3241</v>
      </c>
      <c r="TUF6" s="2888" t="s">
        <v>3241</v>
      </c>
      <c r="TUG6" s="2888" t="s">
        <v>3241</v>
      </c>
      <c r="TUH6" s="2888" t="s">
        <v>3241</v>
      </c>
      <c r="TUI6" s="2888" t="s">
        <v>3241</v>
      </c>
      <c r="TUJ6" s="2888" t="s">
        <v>3241</v>
      </c>
      <c r="TUK6" s="2888" t="s">
        <v>3241</v>
      </c>
      <c r="TUL6" s="2888" t="s">
        <v>3241</v>
      </c>
      <c r="TUM6" s="2888" t="s">
        <v>3241</v>
      </c>
      <c r="TUN6" s="2888" t="s">
        <v>3241</v>
      </c>
      <c r="TUO6" s="2888" t="s">
        <v>3241</v>
      </c>
      <c r="TUP6" s="2888" t="s">
        <v>3241</v>
      </c>
      <c r="TUQ6" s="2888" t="s">
        <v>3241</v>
      </c>
      <c r="TUR6" s="2888" t="s">
        <v>3241</v>
      </c>
      <c r="TUS6" s="2888" t="s">
        <v>3241</v>
      </c>
      <c r="TUT6" s="2888" t="s">
        <v>3241</v>
      </c>
      <c r="TUU6" s="2888" t="s">
        <v>3241</v>
      </c>
      <c r="TUV6" s="2888" t="s">
        <v>3241</v>
      </c>
      <c r="TUW6" s="2888" t="s">
        <v>3241</v>
      </c>
      <c r="TUX6" s="2888" t="s">
        <v>3241</v>
      </c>
      <c r="TUY6" s="2888" t="s">
        <v>3241</v>
      </c>
      <c r="TUZ6" s="2888" t="s">
        <v>3241</v>
      </c>
      <c r="TVA6" s="2888" t="s">
        <v>3241</v>
      </c>
      <c r="TVB6" s="2888" t="s">
        <v>3241</v>
      </c>
      <c r="TVC6" s="2888" t="s">
        <v>3241</v>
      </c>
      <c r="TVD6" s="2888" t="s">
        <v>3241</v>
      </c>
      <c r="TVE6" s="2888" t="s">
        <v>3241</v>
      </c>
      <c r="TVF6" s="2888" t="s">
        <v>3241</v>
      </c>
      <c r="TVG6" s="2888" t="s">
        <v>3241</v>
      </c>
      <c r="TVH6" s="2888" t="s">
        <v>3241</v>
      </c>
      <c r="TVI6" s="2888" t="s">
        <v>3241</v>
      </c>
      <c r="TVJ6" s="2888" t="s">
        <v>3241</v>
      </c>
      <c r="TVK6" s="2888" t="s">
        <v>3241</v>
      </c>
      <c r="TVL6" s="2888" t="s">
        <v>3241</v>
      </c>
      <c r="TVM6" s="2888" t="s">
        <v>3241</v>
      </c>
      <c r="TVN6" s="2888" t="s">
        <v>3241</v>
      </c>
      <c r="TVO6" s="2888" t="s">
        <v>3241</v>
      </c>
      <c r="TVP6" s="2888" t="s">
        <v>3241</v>
      </c>
      <c r="TVQ6" s="2888" t="s">
        <v>3241</v>
      </c>
      <c r="TVR6" s="2888" t="s">
        <v>3241</v>
      </c>
      <c r="TVS6" s="2888" t="s">
        <v>3241</v>
      </c>
      <c r="TVT6" s="2888" t="s">
        <v>3241</v>
      </c>
      <c r="TVU6" s="2888" t="s">
        <v>3241</v>
      </c>
      <c r="TVV6" s="2888" t="s">
        <v>3241</v>
      </c>
      <c r="TVW6" s="2888" t="s">
        <v>3241</v>
      </c>
      <c r="TVX6" s="2888" t="s">
        <v>3241</v>
      </c>
      <c r="TVY6" s="2888" t="s">
        <v>3241</v>
      </c>
      <c r="TVZ6" s="2888" t="s">
        <v>3241</v>
      </c>
      <c r="TWA6" s="2888" t="s">
        <v>3241</v>
      </c>
      <c r="TWB6" s="2888" t="s">
        <v>3241</v>
      </c>
      <c r="TWC6" s="2888" t="s">
        <v>3241</v>
      </c>
      <c r="TWD6" s="2888" t="s">
        <v>3241</v>
      </c>
      <c r="TWE6" s="2888" t="s">
        <v>3241</v>
      </c>
      <c r="TWF6" s="2888" t="s">
        <v>3241</v>
      </c>
      <c r="TWG6" s="2888" t="s">
        <v>3241</v>
      </c>
      <c r="TWH6" s="2888" t="s">
        <v>3241</v>
      </c>
      <c r="TWI6" s="2888" t="s">
        <v>3241</v>
      </c>
      <c r="TWJ6" s="2888" t="s">
        <v>3241</v>
      </c>
      <c r="TWK6" s="2888" t="s">
        <v>3241</v>
      </c>
      <c r="TWL6" s="2888" t="s">
        <v>3241</v>
      </c>
      <c r="TWM6" s="2888" t="s">
        <v>3241</v>
      </c>
      <c r="TWN6" s="2888" t="s">
        <v>3241</v>
      </c>
      <c r="TWO6" s="2888" t="s">
        <v>3241</v>
      </c>
      <c r="TWP6" s="2888" t="s">
        <v>3241</v>
      </c>
      <c r="TWQ6" s="2888" t="s">
        <v>3241</v>
      </c>
      <c r="TWR6" s="2888" t="s">
        <v>3241</v>
      </c>
      <c r="TWS6" s="2888" t="s">
        <v>3241</v>
      </c>
      <c r="TWT6" s="2888" t="s">
        <v>3241</v>
      </c>
      <c r="TWU6" s="2888" t="s">
        <v>3241</v>
      </c>
      <c r="TWV6" s="2888" t="s">
        <v>3241</v>
      </c>
      <c r="TWW6" s="2888" t="s">
        <v>3241</v>
      </c>
      <c r="TWX6" s="2888" t="s">
        <v>3241</v>
      </c>
      <c r="TWY6" s="2888" t="s">
        <v>3241</v>
      </c>
      <c r="TWZ6" s="2888" t="s">
        <v>3241</v>
      </c>
      <c r="TXA6" s="2888" t="s">
        <v>3241</v>
      </c>
      <c r="TXB6" s="2888" t="s">
        <v>3241</v>
      </c>
      <c r="TXC6" s="2888" t="s">
        <v>3241</v>
      </c>
      <c r="TXD6" s="2888" t="s">
        <v>3241</v>
      </c>
      <c r="TXE6" s="2888" t="s">
        <v>3241</v>
      </c>
      <c r="TXF6" s="2888" t="s">
        <v>3241</v>
      </c>
      <c r="TXG6" s="2888" t="s">
        <v>3241</v>
      </c>
      <c r="TXH6" s="2888" t="s">
        <v>3241</v>
      </c>
      <c r="TXI6" s="2888" t="s">
        <v>3241</v>
      </c>
      <c r="TXJ6" s="2888" t="s">
        <v>3241</v>
      </c>
      <c r="TXK6" s="2888" t="s">
        <v>3241</v>
      </c>
      <c r="TXL6" s="2888" t="s">
        <v>3241</v>
      </c>
      <c r="TXM6" s="2888" t="s">
        <v>3241</v>
      </c>
      <c r="TXN6" s="2888" t="s">
        <v>3241</v>
      </c>
      <c r="TXO6" s="2888" t="s">
        <v>3241</v>
      </c>
      <c r="TXP6" s="2888" t="s">
        <v>3241</v>
      </c>
      <c r="TXQ6" s="2888" t="s">
        <v>3241</v>
      </c>
      <c r="TXR6" s="2888" t="s">
        <v>3241</v>
      </c>
      <c r="TXS6" s="2888" t="s">
        <v>3241</v>
      </c>
      <c r="TXT6" s="2888" t="s">
        <v>3241</v>
      </c>
      <c r="TXU6" s="2888" t="s">
        <v>3241</v>
      </c>
      <c r="TXV6" s="2888" t="s">
        <v>3241</v>
      </c>
      <c r="TXW6" s="2888" t="s">
        <v>3241</v>
      </c>
      <c r="TXX6" s="2888" t="s">
        <v>3241</v>
      </c>
      <c r="TXY6" s="2888" t="s">
        <v>3241</v>
      </c>
      <c r="TXZ6" s="2888" t="s">
        <v>3241</v>
      </c>
      <c r="TYA6" s="2888" t="s">
        <v>3241</v>
      </c>
      <c r="TYB6" s="2888" t="s">
        <v>3241</v>
      </c>
      <c r="TYC6" s="2888" t="s">
        <v>3241</v>
      </c>
      <c r="TYD6" s="2888" t="s">
        <v>3241</v>
      </c>
      <c r="TYE6" s="2888" t="s">
        <v>3241</v>
      </c>
      <c r="TYF6" s="2888" t="s">
        <v>3241</v>
      </c>
      <c r="TYG6" s="2888" t="s">
        <v>3241</v>
      </c>
      <c r="TYH6" s="2888" t="s">
        <v>3241</v>
      </c>
      <c r="TYI6" s="2888" t="s">
        <v>3241</v>
      </c>
      <c r="TYJ6" s="2888" t="s">
        <v>3241</v>
      </c>
      <c r="TYK6" s="2888" t="s">
        <v>3241</v>
      </c>
      <c r="TYL6" s="2888" t="s">
        <v>3241</v>
      </c>
      <c r="TYM6" s="2888" t="s">
        <v>3241</v>
      </c>
      <c r="TYN6" s="2888" t="s">
        <v>3241</v>
      </c>
      <c r="TYO6" s="2888" t="s">
        <v>3241</v>
      </c>
      <c r="TYP6" s="2888" t="s">
        <v>3241</v>
      </c>
      <c r="TYQ6" s="2888" t="s">
        <v>3241</v>
      </c>
      <c r="TYR6" s="2888" t="s">
        <v>3241</v>
      </c>
      <c r="TYS6" s="2888" t="s">
        <v>3241</v>
      </c>
      <c r="TYT6" s="2888" t="s">
        <v>3241</v>
      </c>
      <c r="TYU6" s="2888" t="s">
        <v>3241</v>
      </c>
      <c r="TYV6" s="2888" t="s">
        <v>3241</v>
      </c>
      <c r="TYW6" s="2888" t="s">
        <v>3241</v>
      </c>
      <c r="TYX6" s="2888" t="s">
        <v>3241</v>
      </c>
      <c r="TYY6" s="2888" t="s">
        <v>3241</v>
      </c>
      <c r="TYZ6" s="2888" t="s">
        <v>3241</v>
      </c>
      <c r="TZA6" s="2888" t="s">
        <v>3241</v>
      </c>
      <c r="TZB6" s="2888" t="s">
        <v>3241</v>
      </c>
      <c r="TZC6" s="2888" t="s">
        <v>3241</v>
      </c>
      <c r="TZD6" s="2888" t="s">
        <v>3241</v>
      </c>
      <c r="TZE6" s="2888" t="s">
        <v>3241</v>
      </c>
      <c r="TZF6" s="2888" t="s">
        <v>3241</v>
      </c>
      <c r="TZG6" s="2888" t="s">
        <v>3241</v>
      </c>
      <c r="TZH6" s="2888" t="s">
        <v>3241</v>
      </c>
      <c r="TZI6" s="2888" t="s">
        <v>3241</v>
      </c>
      <c r="TZJ6" s="2888" t="s">
        <v>3241</v>
      </c>
      <c r="TZK6" s="2888" t="s">
        <v>3241</v>
      </c>
      <c r="TZL6" s="2888" t="s">
        <v>3241</v>
      </c>
      <c r="TZM6" s="2888" t="s">
        <v>3241</v>
      </c>
      <c r="TZN6" s="2888" t="s">
        <v>3241</v>
      </c>
      <c r="TZO6" s="2888" t="s">
        <v>3241</v>
      </c>
      <c r="TZP6" s="2888" t="s">
        <v>3241</v>
      </c>
      <c r="TZQ6" s="2888" t="s">
        <v>3241</v>
      </c>
      <c r="TZR6" s="2888" t="s">
        <v>3241</v>
      </c>
      <c r="TZS6" s="2888" t="s">
        <v>3241</v>
      </c>
      <c r="TZT6" s="2888" t="s">
        <v>3241</v>
      </c>
      <c r="TZU6" s="2888" t="s">
        <v>3241</v>
      </c>
      <c r="TZV6" s="2888" t="s">
        <v>3241</v>
      </c>
      <c r="TZW6" s="2888" t="s">
        <v>3241</v>
      </c>
      <c r="TZX6" s="2888" t="s">
        <v>3241</v>
      </c>
      <c r="TZY6" s="2888" t="s">
        <v>3241</v>
      </c>
      <c r="TZZ6" s="2888" t="s">
        <v>3241</v>
      </c>
      <c r="UAA6" s="2888" t="s">
        <v>3241</v>
      </c>
      <c r="UAB6" s="2888" t="s">
        <v>3241</v>
      </c>
      <c r="UAC6" s="2888" t="s">
        <v>3241</v>
      </c>
      <c r="UAD6" s="2888" t="s">
        <v>3241</v>
      </c>
      <c r="UAE6" s="2888" t="s">
        <v>3241</v>
      </c>
      <c r="UAF6" s="2888" t="s">
        <v>3241</v>
      </c>
      <c r="UAG6" s="2888" t="s">
        <v>3241</v>
      </c>
      <c r="UAH6" s="2888" t="s">
        <v>3241</v>
      </c>
      <c r="UAI6" s="2888" t="s">
        <v>3241</v>
      </c>
      <c r="UAJ6" s="2888" t="s">
        <v>3241</v>
      </c>
      <c r="UAK6" s="2888" t="s">
        <v>3241</v>
      </c>
      <c r="UAL6" s="2888" t="s">
        <v>3241</v>
      </c>
      <c r="UAM6" s="2888" t="s">
        <v>3241</v>
      </c>
      <c r="UAN6" s="2888" t="s">
        <v>3241</v>
      </c>
      <c r="UAO6" s="2888" t="s">
        <v>3241</v>
      </c>
      <c r="UAP6" s="2888" t="s">
        <v>3241</v>
      </c>
      <c r="UAQ6" s="2888" t="s">
        <v>3241</v>
      </c>
      <c r="UAR6" s="2888" t="s">
        <v>3241</v>
      </c>
      <c r="UAS6" s="2888" t="s">
        <v>3241</v>
      </c>
      <c r="UAT6" s="2888" t="s">
        <v>3241</v>
      </c>
      <c r="UAU6" s="2888" t="s">
        <v>3241</v>
      </c>
      <c r="UAV6" s="2888" t="s">
        <v>3241</v>
      </c>
      <c r="UAW6" s="2888" t="s">
        <v>3241</v>
      </c>
      <c r="UAX6" s="2888" t="s">
        <v>3241</v>
      </c>
      <c r="UAY6" s="2888" t="s">
        <v>3241</v>
      </c>
      <c r="UAZ6" s="2888" t="s">
        <v>3241</v>
      </c>
      <c r="UBA6" s="2888" t="s">
        <v>3241</v>
      </c>
      <c r="UBB6" s="2888" t="s">
        <v>3241</v>
      </c>
      <c r="UBC6" s="2888" t="s">
        <v>3241</v>
      </c>
      <c r="UBD6" s="2888" t="s">
        <v>3241</v>
      </c>
      <c r="UBE6" s="2888" t="s">
        <v>3241</v>
      </c>
      <c r="UBF6" s="2888" t="s">
        <v>3241</v>
      </c>
      <c r="UBG6" s="2888" t="s">
        <v>3241</v>
      </c>
      <c r="UBH6" s="2888" t="s">
        <v>3241</v>
      </c>
      <c r="UBI6" s="2888" t="s">
        <v>3241</v>
      </c>
      <c r="UBJ6" s="2888" t="s">
        <v>3241</v>
      </c>
      <c r="UBK6" s="2888" t="s">
        <v>3241</v>
      </c>
      <c r="UBL6" s="2888" t="s">
        <v>3241</v>
      </c>
      <c r="UBM6" s="2888" t="s">
        <v>3241</v>
      </c>
      <c r="UBN6" s="2888" t="s">
        <v>3241</v>
      </c>
      <c r="UBO6" s="2888" t="s">
        <v>3241</v>
      </c>
      <c r="UBP6" s="2888" t="s">
        <v>3241</v>
      </c>
      <c r="UBQ6" s="2888" t="s">
        <v>3241</v>
      </c>
      <c r="UBR6" s="2888" t="s">
        <v>3241</v>
      </c>
      <c r="UBS6" s="2888" t="s">
        <v>3241</v>
      </c>
      <c r="UBT6" s="2888" t="s">
        <v>3241</v>
      </c>
      <c r="UBU6" s="2888" t="s">
        <v>3241</v>
      </c>
      <c r="UBV6" s="2888" t="s">
        <v>3241</v>
      </c>
      <c r="UBW6" s="2888" t="s">
        <v>3241</v>
      </c>
      <c r="UBX6" s="2888" t="s">
        <v>3241</v>
      </c>
      <c r="UBY6" s="2888" t="s">
        <v>3241</v>
      </c>
      <c r="UBZ6" s="2888" t="s">
        <v>3241</v>
      </c>
      <c r="UCA6" s="2888" t="s">
        <v>3241</v>
      </c>
      <c r="UCB6" s="2888" t="s">
        <v>3241</v>
      </c>
      <c r="UCC6" s="2888" t="s">
        <v>3241</v>
      </c>
      <c r="UCD6" s="2888" t="s">
        <v>3241</v>
      </c>
      <c r="UCE6" s="2888" t="s">
        <v>3241</v>
      </c>
      <c r="UCF6" s="2888" t="s">
        <v>3241</v>
      </c>
      <c r="UCG6" s="2888" t="s">
        <v>3241</v>
      </c>
      <c r="UCH6" s="2888" t="s">
        <v>3241</v>
      </c>
      <c r="UCI6" s="2888" t="s">
        <v>3241</v>
      </c>
      <c r="UCJ6" s="2888" t="s">
        <v>3241</v>
      </c>
      <c r="UCK6" s="2888" t="s">
        <v>3241</v>
      </c>
      <c r="UCL6" s="2888" t="s">
        <v>3241</v>
      </c>
      <c r="UCM6" s="2888" t="s">
        <v>3241</v>
      </c>
      <c r="UCN6" s="2888" t="s">
        <v>3241</v>
      </c>
      <c r="UCO6" s="2888" t="s">
        <v>3241</v>
      </c>
      <c r="UCP6" s="2888" t="s">
        <v>3241</v>
      </c>
      <c r="UCQ6" s="2888" t="s">
        <v>3241</v>
      </c>
      <c r="UCR6" s="2888" t="s">
        <v>3241</v>
      </c>
      <c r="UCS6" s="2888" t="s">
        <v>3241</v>
      </c>
      <c r="UCT6" s="2888" t="s">
        <v>3241</v>
      </c>
      <c r="UCU6" s="2888" t="s">
        <v>3241</v>
      </c>
      <c r="UCV6" s="2888" t="s">
        <v>3241</v>
      </c>
      <c r="UCW6" s="2888" t="s">
        <v>3241</v>
      </c>
      <c r="UCX6" s="2888" t="s">
        <v>3241</v>
      </c>
      <c r="UCY6" s="2888" t="s">
        <v>3241</v>
      </c>
      <c r="UCZ6" s="2888" t="s">
        <v>3241</v>
      </c>
      <c r="UDA6" s="2888" t="s">
        <v>3241</v>
      </c>
      <c r="UDB6" s="2888" t="s">
        <v>3241</v>
      </c>
      <c r="UDC6" s="2888" t="s">
        <v>3241</v>
      </c>
      <c r="UDD6" s="2888" t="s">
        <v>3241</v>
      </c>
      <c r="UDE6" s="2888" t="s">
        <v>3241</v>
      </c>
      <c r="UDF6" s="2888" t="s">
        <v>3241</v>
      </c>
      <c r="UDG6" s="2888" t="s">
        <v>3241</v>
      </c>
      <c r="UDH6" s="2888" t="s">
        <v>3241</v>
      </c>
      <c r="UDI6" s="2888" t="s">
        <v>3241</v>
      </c>
      <c r="UDJ6" s="2888" t="s">
        <v>3241</v>
      </c>
      <c r="UDK6" s="2888" t="s">
        <v>3241</v>
      </c>
      <c r="UDL6" s="2888" t="s">
        <v>3241</v>
      </c>
      <c r="UDM6" s="2888" t="s">
        <v>3241</v>
      </c>
      <c r="UDN6" s="2888" t="s">
        <v>3241</v>
      </c>
      <c r="UDO6" s="2888" t="s">
        <v>3241</v>
      </c>
      <c r="UDP6" s="2888" t="s">
        <v>3241</v>
      </c>
      <c r="UDQ6" s="2888" t="s">
        <v>3241</v>
      </c>
      <c r="UDR6" s="2888" t="s">
        <v>3241</v>
      </c>
      <c r="UDS6" s="2888" t="s">
        <v>3241</v>
      </c>
      <c r="UDT6" s="2888" t="s">
        <v>3241</v>
      </c>
      <c r="UDU6" s="2888" t="s">
        <v>3241</v>
      </c>
      <c r="UDV6" s="2888" t="s">
        <v>3241</v>
      </c>
      <c r="UDW6" s="2888" t="s">
        <v>3241</v>
      </c>
      <c r="UDX6" s="2888" t="s">
        <v>3241</v>
      </c>
      <c r="UDY6" s="2888" t="s">
        <v>3241</v>
      </c>
      <c r="UDZ6" s="2888" t="s">
        <v>3241</v>
      </c>
      <c r="UEA6" s="2888" t="s">
        <v>3241</v>
      </c>
      <c r="UEB6" s="2888" t="s">
        <v>3241</v>
      </c>
      <c r="UEC6" s="2888" t="s">
        <v>3241</v>
      </c>
      <c r="UED6" s="2888" t="s">
        <v>3241</v>
      </c>
      <c r="UEE6" s="2888" t="s">
        <v>3241</v>
      </c>
      <c r="UEF6" s="2888" t="s">
        <v>3241</v>
      </c>
      <c r="UEG6" s="2888" t="s">
        <v>3241</v>
      </c>
      <c r="UEH6" s="2888" t="s">
        <v>3241</v>
      </c>
      <c r="UEI6" s="2888" t="s">
        <v>3241</v>
      </c>
      <c r="UEJ6" s="2888" t="s">
        <v>3241</v>
      </c>
      <c r="UEK6" s="2888" t="s">
        <v>3241</v>
      </c>
      <c r="UEL6" s="2888" t="s">
        <v>3241</v>
      </c>
      <c r="UEM6" s="2888" t="s">
        <v>3241</v>
      </c>
      <c r="UEN6" s="2888" t="s">
        <v>3241</v>
      </c>
      <c r="UEO6" s="2888" t="s">
        <v>3241</v>
      </c>
      <c r="UEP6" s="2888" t="s">
        <v>3241</v>
      </c>
      <c r="UEQ6" s="2888" t="s">
        <v>3241</v>
      </c>
      <c r="UER6" s="2888" t="s">
        <v>3241</v>
      </c>
      <c r="UES6" s="2888" t="s">
        <v>3241</v>
      </c>
      <c r="UET6" s="2888" t="s">
        <v>3241</v>
      </c>
      <c r="UEU6" s="2888" t="s">
        <v>3241</v>
      </c>
      <c r="UEV6" s="2888" t="s">
        <v>3241</v>
      </c>
      <c r="UEW6" s="2888" t="s">
        <v>3241</v>
      </c>
      <c r="UEX6" s="2888" t="s">
        <v>3241</v>
      </c>
      <c r="UEY6" s="2888" t="s">
        <v>3241</v>
      </c>
      <c r="UEZ6" s="2888" t="s">
        <v>3241</v>
      </c>
      <c r="UFA6" s="2888" t="s">
        <v>3241</v>
      </c>
      <c r="UFB6" s="2888" t="s">
        <v>3241</v>
      </c>
      <c r="UFC6" s="2888" t="s">
        <v>3241</v>
      </c>
      <c r="UFD6" s="2888" t="s">
        <v>3241</v>
      </c>
      <c r="UFE6" s="2888" t="s">
        <v>3241</v>
      </c>
      <c r="UFF6" s="2888" t="s">
        <v>3241</v>
      </c>
      <c r="UFG6" s="2888" t="s">
        <v>3241</v>
      </c>
      <c r="UFH6" s="2888" t="s">
        <v>3241</v>
      </c>
      <c r="UFI6" s="2888" t="s">
        <v>3241</v>
      </c>
      <c r="UFJ6" s="2888" t="s">
        <v>3241</v>
      </c>
      <c r="UFK6" s="2888" t="s">
        <v>3241</v>
      </c>
      <c r="UFL6" s="2888" t="s">
        <v>3241</v>
      </c>
      <c r="UFM6" s="2888" t="s">
        <v>3241</v>
      </c>
      <c r="UFN6" s="2888" t="s">
        <v>3241</v>
      </c>
      <c r="UFO6" s="2888" t="s">
        <v>3241</v>
      </c>
      <c r="UFP6" s="2888" t="s">
        <v>3241</v>
      </c>
      <c r="UFQ6" s="2888" t="s">
        <v>3241</v>
      </c>
      <c r="UFR6" s="2888" t="s">
        <v>3241</v>
      </c>
      <c r="UFS6" s="2888" t="s">
        <v>3241</v>
      </c>
      <c r="UFT6" s="2888" t="s">
        <v>3241</v>
      </c>
      <c r="UFU6" s="2888" t="s">
        <v>3241</v>
      </c>
      <c r="UFV6" s="2888" t="s">
        <v>3241</v>
      </c>
      <c r="UFW6" s="2888" t="s">
        <v>3241</v>
      </c>
      <c r="UFX6" s="2888" t="s">
        <v>3241</v>
      </c>
      <c r="UFY6" s="2888" t="s">
        <v>3241</v>
      </c>
      <c r="UFZ6" s="2888" t="s">
        <v>3241</v>
      </c>
      <c r="UGA6" s="2888" t="s">
        <v>3241</v>
      </c>
      <c r="UGB6" s="2888" t="s">
        <v>3241</v>
      </c>
      <c r="UGC6" s="2888" t="s">
        <v>3241</v>
      </c>
      <c r="UGD6" s="2888" t="s">
        <v>3241</v>
      </c>
      <c r="UGE6" s="2888" t="s">
        <v>3241</v>
      </c>
      <c r="UGF6" s="2888" t="s">
        <v>3241</v>
      </c>
      <c r="UGG6" s="2888" t="s">
        <v>3241</v>
      </c>
      <c r="UGH6" s="2888" t="s">
        <v>3241</v>
      </c>
      <c r="UGI6" s="2888" t="s">
        <v>3241</v>
      </c>
      <c r="UGJ6" s="2888" t="s">
        <v>3241</v>
      </c>
      <c r="UGK6" s="2888" t="s">
        <v>3241</v>
      </c>
      <c r="UGL6" s="2888" t="s">
        <v>3241</v>
      </c>
      <c r="UGM6" s="2888" t="s">
        <v>3241</v>
      </c>
      <c r="UGN6" s="2888" t="s">
        <v>3241</v>
      </c>
      <c r="UGO6" s="2888" t="s">
        <v>3241</v>
      </c>
      <c r="UGP6" s="2888" t="s">
        <v>3241</v>
      </c>
      <c r="UGQ6" s="2888" t="s">
        <v>3241</v>
      </c>
      <c r="UGR6" s="2888" t="s">
        <v>3241</v>
      </c>
      <c r="UGS6" s="2888" t="s">
        <v>3241</v>
      </c>
      <c r="UGT6" s="2888" t="s">
        <v>3241</v>
      </c>
      <c r="UGU6" s="2888" t="s">
        <v>3241</v>
      </c>
      <c r="UGV6" s="2888" t="s">
        <v>3241</v>
      </c>
      <c r="UGW6" s="2888" t="s">
        <v>3241</v>
      </c>
      <c r="UGX6" s="2888" t="s">
        <v>3241</v>
      </c>
      <c r="UGY6" s="2888" t="s">
        <v>3241</v>
      </c>
      <c r="UGZ6" s="2888" t="s">
        <v>3241</v>
      </c>
      <c r="UHA6" s="2888" t="s">
        <v>3241</v>
      </c>
      <c r="UHB6" s="2888" t="s">
        <v>3241</v>
      </c>
      <c r="UHC6" s="2888" t="s">
        <v>3241</v>
      </c>
      <c r="UHD6" s="2888" t="s">
        <v>3241</v>
      </c>
      <c r="UHE6" s="2888" t="s">
        <v>3241</v>
      </c>
      <c r="UHF6" s="2888" t="s">
        <v>3241</v>
      </c>
      <c r="UHG6" s="2888" t="s">
        <v>3241</v>
      </c>
      <c r="UHH6" s="2888" t="s">
        <v>3241</v>
      </c>
      <c r="UHI6" s="2888" t="s">
        <v>3241</v>
      </c>
      <c r="UHJ6" s="2888" t="s">
        <v>3241</v>
      </c>
      <c r="UHK6" s="2888" t="s">
        <v>3241</v>
      </c>
      <c r="UHL6" s="2888" t="s">
        <v>3241</v>
      </c>
      <c r="UHM6" s="2888" t="s">
        <v>3241</v>
      </c>
      <c r="UHN6" s="2888" t="s">
        <v>3241</v>
      </c>
      <c r="UHO6" s="2888" t="s">
        <v>3241</v>
      </c>
      <c r="UHP6" s="2888" t="s">
        <v>3241</v>
      </c>
      <c r="UHQ6" s="2888" t="s">
        <v>3241</v>
      </c>
      <c r="UHR6" s="2888" t="s">
        <v>3241</v>
      </c>
      <c r="UHS6" s="2888" t="s">
        <v>3241</v>
      </c>
      <c r="UHT6" s="2888" t="s">
        <v>3241</v>
      </c>
      <c r="UHU6" s="2888" t="s">
        <v>3241</v>
      </c>
      <c r="UHV6" s="2888" t="s">
        <v>3241</v>
      </c>
      <c r="UHW6" s="2888" t="s">
        <v>3241</v>
      </c>
      <c r="UHX6" s="2888" t="s">
        <v>3241</v>
      </c>
      <c r="UHY6" s="2888" t="s">
        <v>3241</v>
      </c>
      <c r="UHZ6" s="2888" t="s">
        <v>3241</v>
      </c>
      <c r="UIA6" s="2888" t="s">
        <v>3241</v>
      </c>
      <c r="UIB6" s="2888" t="s">
        <v>3241</v>
      </c>
      <c r="UIC6" s="2888" t="s">
        <v>3241</v>
      </c>
      <c r="UID6" s="2888" t="s">
        <v>3241</v>
      </c>
      <c r="UIE6" s="2888" t="s">
        <v>3241</v>
      </c>
      <c r="UIF6" s="2888" t="s">
        <v>3241</v>
      </c>
      <c r="UIG6" s="2888" t="s">
        <v>3241</v>
      </c>
      <c r="UIH6" s="2888" t="s">
        <v>3241</v>
      </c>
      <c r="UII6" s="2888" t="s">
        <v>3241</v>
      </c>
      <c r="UIJ6" s="2888" t="s">
        <v>3241</v>
      </c>
      <c r="UIK6" s="2888" t="s">
        <v>3241</v>
      </c>
      <c r="UIL6" s="2888" t="s">
        <v>3241</v>
      </c>
      <c r="UIM6" s="2888" t="s">
        <v>3241</v>
      </c>
      <c r="UIN6" s="2888" t="s">
        <v>3241</v>
      </c>
      <c r="UIO6" s="2888" t="s">
        <v>3241</v>
      </c>
      <c r="UIP6" s="2888" t="s">
        <v>3241</v>
      </c>
      <c r="UIQ6" s="2888" t="s">
        <v>3241</v>
      </c>
      <c r="UIR6" s="2888" t="s">
        <v>3241</v>
      </c>
      <c r="UIS6" s="2888" t="s">
        <v>3241</v>
      </c>
      <c r="UIT6" s="2888" t="s">
        <v>3241</v>
      </c>
      <c r="UIU6" s="2888" t="s">
        <v>3241</v>
      </c>
      <c r="UIV6" s="2888" t="s">
        <v>3241</v>
      </c>
      <c r="UIW6" s="2888" t="s">
        <v>3241</v>
      </c>
      <c r="UIX6" s="2888" t="s">
        <v>3241</v>
      </c>
      <c r="UIY6" s="2888" t="s">
        <v>3241</v>
      </c>
      <c r="UIZ6" s="2888" t="s">
        <v>3241</v>
      </c>
      <c r="UJA6" s="2888" t="s">
        <v>3241</v>
      </c>
      <c r="UJB6" s="2888" t="s">
        <v>3241</v>
      </c>
      <c r="UJC6" s="2888" t="s">
        <v>3241</v>
      </c>
      <c r="UJD6" s="2888" t="s">
        <v>3241</v>
      </c>
      <c r="UJE6" s="2888" t="s">
        <v>3241</v>
      </c>
      <c r="UJF6" s="2888" t="s">
        <v>3241</v>
      </c>
      <c r="UJG6" s="2888" t="s">
        <v>3241</v>
      </c>
      <c r="UJH6" s="2888" t="s">
        <v>3241</v>
      </c>
      <c r="UJI6" s="2888" t="s">
        <v>3241</v>
      </c>
      <c r="UJJ6" s="2888" t="s">
        <v>3241</v>
      </c>
      <c r="UJK6" s="2888" t="s">
        <v>3241</v>
      </c>
      <c r="UJL6" s="2888" t="s">
        <v>3241</v>
      </c>
      <c r="UJM6" s="2888" t="s">
        <v>3241</v>
      </c>
      <c r="UJN6" s="2888" t="s">
        <v>3241</v>
      </c>
      <c r="UJO6" s="2888" t="s">
        <v>3241</v>
      </c>
      <c r="UJP6" s="2888" t="s">
        <v>3241</v>
      </c>
      <c r="UJQ6" s="2888" t="s">
        <v>3241</v>
      </c>
      <c r="UJR6" s="2888" t="s">
        <v>3241</v>
      </c>
      <c r="UJS6" s="2888" t="s">
        <v>3241</v>
      </c>
      <c r="UJT6" s="2888" t="s">
        <v>3241</v>
      </c>
      <c r="UJU6" s="2888" t="s">
        <v>3241</v>
      </c>
      <c r="UJV6" s="2888" t="s">
        <v>3241</v>
      </c>
      <c r="UJW6" s="2888" t="s">
        <v>3241</v>
      </c>
      <c r="UJX6" s="2888" t="s">
        <v>3241</v>
      </c>
      <c r="UJY6" s="2888" t="s">
        <v>3241</v>
      </c>
      <c r="UJZ6" s="2888" t="s">
        <v>3241</v>
      </c>
      <c r="UKA6" s="2888" t="s">
        <v>3241</v>
      </c>
      <c r="UKB6" s="2888" t="s">
        <v>3241</v>
      </c>
      <c r="UKC6" s="2888" t="s">
        <v>3241</v>
      </c>
      <c r="UKD6" s="2888" t="s">
        <v>3241</v>
      </c>
      <c r="UKE6" s="2888" t="s">
        <v>3241</v>
      </c>
      <c r="UKF6" s="2888" t="s">
        <v>3241</v>
      </c>
      <c r="UKG6" s="2888" t="s">
        <v>3241</v>
      </c>
      <c r="UKH6" s="2888" t="s">
        <v>3241</v>
      </c>
      <c r="UKI6" s="2888" t="s">
        <v>3241</v>
      </c>
      <c r="UKJ6" s="2888" t="s">
        <v>3241</v>
      </c>
      <c r="UKK6" s="2888" t="s">
        <v>3241</v>
      </c>
      <c r="UKL6" s="2888" t="s">
        <v>3241</v>
      </c>
      <c r="UKM6" s="2888" t="s">
        <v>3241</v>
      </c>
      <c r="UKN6" s="2888" t="s">
        <v>3241</v>
      </c>
      <c r="UKO6" s="2888" t="s">
        <v>3241</v>
      </c>
      <c r="UKP6" s="2888" t="s">
        <v>3241</v>
      </c>
      <c r="UKQ6" s="2888" t="s">
        <v>3241</v>
      </c>
      <c r="UKR6" s="2888" t="s">
        <v>3241</v>
      </c>
      <c r="UKS6" s="2888" t="s">
        <v>3241</v>
      </c>
      <c r="UKT6" s="2888" t="s">
        <v>3241</v>
      </c>
      <c r="UKU6" s="2888" t="s">
        <v>3241</v>
      </c>
      <c r="UKV6" s="2888" t="s">
        <v>3241</v>
      </c>
      <c r="UKW6" s="2888" t="s">
        <v>3241</v>
      </c>
      <c r="UKX6" s="2888" t="s">
        <v>3241</v>
      </c>
      <c r="UKY6" s="2888" t="s">
        <v>3241</v>
      </c>
      <c r="UKZ6" s="2888" t="s">
        <v>3241</v>
      </c>
      <c r="ULA6" s="2888" t="s">
        <v>3241</v>
      </c>
      <c r="ULB6" s="2888" t="s">
        <v>3241</v>
      </c>
      <c r="ULC6" s="2888" t="s">
        <v>3241</v>
      </c>
      <c r="ULD6" s="2888" t="s">
        <v>3241</v>
      </c>
      <c r="ULE6" s="2888" t="s">
        <v>3241</v>
      </c>
      <c r="ULF6" s="2888" t="s">
        <v>3241</v>
      </c>
      <c r="ULG6" s="2888" t="s">
        <v>3241</v>
      </c>
      <c r="ULH6" s="2888" t="s">
        <v>3241</v>
      </c>
      <c r="ULI6" s="2888" t="s">
        <v>3241</v>
      </c>
      <c r="ULJ6" s="2888" t="s">
        <v>3241</v>
      </c>
      <c r="ULK6" s="2888" t="s">
        <v>3241</v>
      </c>
      <c r="ULL6" s="2888" t="s">
        <v>3241</v>
      </c>
      <c r="ULM6" s="2888" t="s">
        <v>3241</v>
      </c>
      <c r="ULN6" s="2888" t="s">
        <v>3241</v>
      </c>
      <c r="ULO6" s="2888" t="s">
        <v>3241</v>
      </c>
      <c r="ULP6" s="2888" t="s">
        <v>3241</v>
      </c>
      <c r="ULQ6" s="2888" t="s">
        <v>3241</v>
      </c>
      <c r="ULR6" s="2888" t="s">
        <v>3241</v>
      </c>
      <c r="ULS6" s="2888" t="s">
        <v>3241</v>
      </c>
      <c r="ULT6" s="2888" t="s">
        <v>3241</v>
      </c>
      <c r="ULU6" s="2888" t="s">
        <v>3241</v>
      </c>
      <c r="ULV6" s="2888" t="s">
        <v>3241</v>
      </c>
      <c r="ULW6" s="2888" t="s">
        <v>3241</v>
      </c>
      <c r="ULX6" s="2888" t="s">
        <v>3241</v>
      </c>
      <c r="ULY6" s="2888" t="s">
        <v>3241</v>
      </c>
      <c r="ULZ6" s="2888" t="s">
        <v>3241</v>
      </c>
      <c r="UMA6" s="2888" t="s">
        <v>3241</v>
      </c>
      <c r="UMB6" s="2888" t="s">
        <v>3241</v>
      </c>
      <c r="UMC6" s="2888" t="s">
        <v>3241</v>
      </c>
      <c r="UMD6" s="2888" t="s">
        <v>3241</v>
      </c>
      <c r="UME6" s="2888" t="s">
        <v>3241</v>
      </c>
      <c r="UMF6" s="2888" t="s">
        <v>3241</v>
      </c>
      <c r="UMG6" s="2888" t="s">
        <v>3241</v>
      </c>
      <c r="UMH6" s="2888" t="s">
        <v>3241</v>
      </c>
      <c r="UMI6" s="2888" t="s">
        <v>3241</v>
      </c>
      <c r="UMJ6" s="2888" t="s">
        <v>3241</v>
      </c>
      <c r="UMK6" s="2888" t="s">
        <v>3241</v>
      </c>
      <c r="UML6" s="2888" t="s">
        <v>3241</v>
      </c>
      <c r="UMM6" s="2888" t="s">
        <v>3241</v>
      </c>
      <c r="UMN6" s="2888" t="s">
        <v>3241</v>
      </c>
      <c r="UMO6" s="2888" t="s">
        <v>3241</v>
      </c>
      <c r="UMP6" s="2888" t="s">
        <v>3241</v>
      </c>
      <c r="UMQ6" s="2888" t="s">
        <v>3241</v>
      </c>
      <c r="UMR6" s="2888" t="s">
        <v>3241</v>
      </c>
      <c r="UMS6" s="2888" t="s">
        <v>3241</v>
      </c>
      <c r="UMT6" s="2888" t="s">
        <v>3241</v>
      </c>
      <c r="UMU6" s="2888" t="s">
        <v>3241</v>
      </c>
      <c r="UMV6" s="2888" t="s">
        <v>3241</v>
      </c>
      <c r="UMW6" s="2888" t="s">
        <v>3241</v>
      </c>
      <c r="UMX6" s="2888" t="s">
        <v>3241</v>
      </c>
      <c r="UMY6" s="2888" t="s">
        <v>3241</v>
      </c>
      <c r="UMZ6" s="2888" t="s">
        <v>3241</v>
      </c>
      <c r="UNA6" s="2888" t="s">
        <v>3241</v>
      </c>
      <c r="UNB6" s="2888" t="s">
        <v>3241</v>
      </c>
      <c r="UNC6" s="2888" t="s">
        <v>3241</v>
      </c>
      <c r="UND6" s="2888" t="s">
        <v>3241</v>
      </c>
      <c r="UNE6" s="2888" t="s">
        <v>3241</v>
      </c>
      <c r="UNF6" s="2888" t="s">
        <v>3241</v>
      </c>
      <c r="UNG6" s="2888" t="s">
        <v>3241</v>
      </c>
      <c r="UNH6" s="2888" t="s">
        <v>3241</v>
      </c>
      <c r="UNI6" s="2888" t="s">
        <v>3241</v>
      </c>
      <c r="UNJ6" s="2888" t="s">
        <v>3241</v>
      </c>
      <c r="UNK6" s="2888" t="s">
        <v>3241</v>
      </c>
      <c r="UNL6" s="2888" t="s">
        <v>3241</v>
      </c>
      <c r="UNM6" s="2888" t="s">
        <v>3241</v>
      </c>
      <c r="UNN6" s="2888" t="s">
        <v>3241</v>
      </c>
      <c r="UNO6" s="2888" t="s">
        <v>3241</v>
      </c>
      <c r="UNP6" s="2888" t="s">
        <v>3241</v>
      </c>
      <c r="UNQ6" s="2888" t="s">
        <v>3241</v>
      </c>
      <c r="UNR6" s="2888" t="s">
        <v>3241</v>
      </c>
      <c r="UNS6" s="2888" t="s">
        <v>3241</v>
      </c>
      <c r="UNT6" s="2888" t="s">
        <v>3241</v>
      </c>
      <c r="UNU6" s="2888" t="s">
        <v>3241</v>
      </c>
      <c r="UNV6" s="2888" t="s">
        <v>3241</v>
      </c>
      <c r="UNW6" s="2888" t="s">
        <v>3241</v>
      </c>
      <c r="UNX6" s="2888" t="s">
        <v>3241</v>
      </c>
      <c r="UNY6" s="2888" t="s">
        <v>3241</v>
      </c>
      <c r="UNZ6" s="2888" t="s">
        <v>3241</v>
      </c>
      <c r="UOA6" s="2888" t="s">
        <v>3241</v>
      </c>
      <c r="UOB6" s="2888" t="s">
        <v>3241</v>
      </c>
      <c r="UOC6" s="2888" t="s">
        <v>3241</v>
      </c>
      <c r="UOD6" s="2888" t="s">
        <v>3241</v>
      </c>
      <c r="UOE6" s="2888" t="s">
        <v>3241</v>
      </c>
      <c r="UOF6" s="2888" t="s">
        <v>3241</v>
      </c>
      <c r="UOG6" s="2888" t="s">
        <v>3241</v>
      </c>
      <c r="UOH6" s="2888" t="s">
        <v>3241</v>
      </c>
      <c r="UOI6" s="2888" t="s">
        <v>3241</v>
      </c>
      <c r="UOJ6" s="2888" t="s">
        <v>3241</v>
      </c>
      <c r="UOK6" s="2888" t="s">
        <v>3241</v>
      </c>
      <c r="UOL6" s="2888" t="s">
        <v>3241</v>
      </c>
      <c r="UOM6" s="2888" t="s">
        <v>3241</v>
      </c>
      <c r="UON6" s="2888" t="s">
        <v>3241</v>
      </c>
      <c r="UOO6" s="2888" t="s">
        <v>3241</v>
      </c>
      <c r="UOP6" s="2888" t="s">
        <v>3241</v>
      </c>
      <c r="UOQ6" s="2888" t="s">
        <v>3241</v>
      </c>
      <c r="UOR6" s="2888" t="s">
        <v>3241</v>
      </c>
      <c r="UOS6" s="2888" t="s">
        <v>3241</v>
      </c>
      <c r="UOT6" s="2888" t="s">
        <v>3241</v>
      </c>
      <c r="UOU6" s="2888" t="s">
        <v>3241</v>
      </c>
      <c r="UOV6" s="2888" t="s">
        <v>3241</v>
      </c>
      <c r="UOW6" s="2888" t="s">
        <v>3241</v>
      </c>
      <c r="UOX6" s="2888" t="s">
        <v>3241</v>
      </c>
      <c r="UOY6" s="2888" t="s">
        <v>3241</v>
      </c>
      <c r="UOZ6" s="2888" t="s">
        <v>3241</v>
      </c>
      <c r="UPA6" s="2888" t="s">
        <v>3241</v>
      </c>
      <c r="UPB6" s="2888" t="s">
        <v>3241</v>
      </c>
      <c r="UPC6" s="2888" t="s">
        <v>3241</v>
      </c>
      <c r="UPD6" s="2888" t="s">
        <v>3241</v>
      </c>
      <c r="UPE6" s="2888" t="s">
        <v>3241</v>
      </c>
      <c r="UPF6" s="2888" t="s">
        <v>3241</v>
      </c>
      <c r="UPG6" s="2888" t="s">
        <v>3241</v>
      </c>
      <c r="UPH6" s="2888" t="s">
        <v>3241</v>
      </c>
      <c r="UPI6" s="2888" t="s">
        <v>3241</v>
      </c>
      <c r="UPJ6" s="2888" t="s">
        <v>3241</v>
      </c>
      <c r="UPK6" s="2888" t="s">
        <v>3241</v>
      </c>
      <c r="UPL6" s="2888" t="s">
        <v>3241</v>
      </c>
      <c r="UPM6" s="2888" t="s">
        <v>3241</v>
      </c>
      <c r="UPN6" s="2888" t="s">
        <v>3241</v>
      </c>
      <c r="UPO6" s="2888" t="s">
        <v>3241</v>
      </c>
      <c r="UPP6" s="2888" t="s">
        <v>3241</v>
      </c>
      <c r="UPQ6" s="2888" t="s">
        <v>3241</v>
      </c>
      <c r="UPR6" s="2888" t="s">
        <v>3241</v>
      </c>
      <c r="UPS6" s="2888" t="s">
        <v>3241</v>
      </c>
      <c r="UPT6" s="2888" t="s">
        <v>3241</v>
      </c>
      <c r="UPU6" s="2888" t="s">
        <v>3241</v>
      </c>
      <c r="UPV6" s="2888" t="s">
        <v>3241</v>
      </c>
      <c r="UPW6" s="2888" t="s">
        <v>3241</v>
      </c>
      <c r="UPX6" s="2888" t="s">
        <v>3241</v>
      </c>
      <c r="UPY6" s="2888" t="s">
        <v>3241</v>
      </c>
      <c r="UPZ6" s="2888" t="s">
        <v>3241</v>
      </c>
      <c r="UQA6" s="2888" t="s">
        <v>3241</v>
      </c>
      <c r="UQB6" s="2888" t="s">
        <v>3241</v>
      </c>
      <c r="UQC6" s="2888" t="s">
        <v>3241</v>
      </c>
      <c r="UQD6" s="2888" t="s">
        <v>3241</v>
      </c>
      <c r="UQE6" s="2888" t="s">
        <v>3241</v>
      </c>
      <c r="UQF6" s="2888" t="s">
        <v>3241</v>
      </c>
      <c r="UQG6" s="2888" t="s">
        <v>3241</v>
      </c>
      <c r="UQH6" s="2888" t="s">
        <v>3241</v>
      </c>
      <c r="UQI6" s="2888" t="s">
        <v>3241</v>
      </c>
      <c r="UQJ6" s="2888" t="s">
        <v>3241</v>
      </c>
      <c r="UQK6" s="2888" t="s">
        <v>3241</v>
      </c>
      <c r="UQL6" s="2888" t="s">
        <v>3241</v>
      </c>
      <c r="UQM6" s="2888" t="s">
        <v>3241</v>
      </c>
      <c r="UQN6" s="2888" t="s">
        <v>3241</v>
      </c>
      <c r="UQO6" s="2888" t="s">
        <v>3241</v>
      </c>
      <c r="UQP6" s="2888" t="s">
        <v>3241</v>
      </c>
      <c r="UQQ6" s="2888" t="s">
        <v>3241</v>
      </c>
      <c r="UQR6" s="2888" t="s">
        <v>3241</v>
      </c>
      <c r="UQS6" s="2888" t="s">
        <v>3241</v>
      </c>
      <c r="UQT6" s="2888" t="s">
        <v>3241</v>
      </c>
      <c r="UQU6" s="2888" t="s">
        <v>3241</v>
      </c>
      <c r="UQV6" s="2888" t="s">
        <v>3241</v>
      </c>
      <c r="UQW6" s="2888" t="s">
        <v>3241</v>
      </c>
      <c r="UQX6" s="2888" t="s">
        <v>3241</v>
      </c>
      <c r="UQY6" s="2888" t="s">
        <v>3241</v>
      </c>
      <c r="UQZ6" s="2888" t="s">
        <v>3241</v>
      </c>
      <c r="URA6" s="2888" t="s">
        <v>3241</v>
      </c>
      <c r="URB6" s="2888" t="s">
        <v>3241</v>
      </c>
      <c r="URC6" s="2888" t="s">
        <v>3241</v>
      </c>
      <c r="URD6" s="2888" t="s">
        <v>3241</v>
      </c>
      <c r="URE6" s="2888" t="s">
        <v>3241</v>
      </c>
      <c r="URF6" s="2888" t="s">
        <v>3241</v>
      </c>
      <c r="URG6" s="2888" t="s">
        <v>3241</v>
      </c>
      <c r="URH6" s="2888" t="s">
        <v>3241</v>
      </c>
      <c r="URI6" s="2888" t="s">
        <v>3241</v>
      </c>
      <c r="URJ6" s="2888" t="s">
        <v>3241</v>
      </c>
      <c r="URK6" s="2888" t="s">
        <v>3241</v>
      </c>
      <c r="URL6" s="2888" t="s">
        <v>3241</v>
      </c>
      <c r="URM6" s="2888" t="s">
        <v>3241</v>
      </c>
      <c r="URN6" s="2888" t="s">
        <v>3241</v>
      </c>
      <c r="URO6" s="2888" t="s">
        <v>3241</v>
      </c>
      <c r="URP6" s="2888" t="s">
        <v>3241</v>
      </c>
      <c r="URQ6" s="2888" t="s">
        <v>3241</v>
      </c>
      <c r="URR6" s="2888" t="s">
        <v>3241</v>
      </c>
      <c r="URS6" s="2888" t="s">
        <v>3241</v>
      </c>
      <c r="URT6" s="2888" t="s">
        <v>3241</v>
      </c>
      <c r="URU6" s="2888" t="s">
        <v>3241</v>
      </c>
      <c r="URV6" s="2888" t="s">
        <v>3241</v>
      </c>
      <c r="URW6" s="2888" t="s">
        <v>3241</v>
      </c>
      <c r="URX6" s="2888" t="s">
        <v>3241</v>
      </c>
      <c r="URY6" s="2888" t="s">
        <v>3241</v>
      </c>
      <c r="URZ6" s="2888" t="s">
        <v>3241</v>
      </c>
      <c r="USA6" s="2888" t="s">
        <v>3241</v>
      </c>
      <c r="USB6" s="2888" t="s">
        <v>3241</v>
      </c>
      <c r="USC6" s="2888" t="s">
        <v>3241</v>
      </c>
      <c r="USD6" s="2888" t="s">
        <v>3241</v>
      </c>
      <c r="USE6" s="2888" t="s">
        <v>3241</v>
      </c>
      <c r="USF6" s="2888" t="s">
        <v>3241</v>
      </c>
      <c r="USG6" s="2888" t="s">
        <v>3241</v>
      </c>
      <c r="USH6" s="2888" t="s">
        <v>3241</v>
      </c>
      <c r="USI6" s="2888" t="s">
        <v>3241</v>
      </c>
      <c r="USJ6" s="2888" t="s">
        <v>3241</v>
      </c>
      <c r="USK6" s="2888" t="s">
        <v>3241</v>
      </c>
      <c r="USL6" s="2888" t="s">
        <v>3241</v>
      </c>
      <c r="USM6" s="2888" t="s">
        <v>3241</v>
      </c>
      <c r="USN6" s="2888" t="s">
        <v>3241</v>
      </c>
      <c r="USO6" s="2888" t="s">
        <v>3241</v>
      </c>
      <c r="USP6" s="2888" t="s">
        <v>3241</v>
      </c>
      <c r="USQ6" s="2888" t="s">
        <v>3241</v>
      </c>
      <c r="USR6" s="2888" t="s">
        <v>3241</v>
      </c>
      <c r="USS6" s="2888" t="s">
        <v>3241</v>
      </c>
      <c r="UST6" s="2888" t="s">
        <v>3241</v>
      </c>
      <c r="USU6" s="2888" t="s">
        <v>3241</v>
      </c>
      <c r="USV6" s="2888" t="s">
        <v>3241</v>
      </c>
      <c r="USW6" s="2888" t="s">
        <v>3241</v>
      </c>
      <c r="USX6" s="2888" t="s">
        <v>3241</v>
      </c>
      <c r="USY6" s="2888" t="s">
        <v>3241</v>
      </c>
      <c r="USZ6" s="2888" t="s">
        <v>3241</v>
      </c>
      <c r="UTA6" s="2888" t="s">
        <v>3241</v>
      </c>
      <c r="UTB6" s="2888" t="s">
        <v>3241</v>
      </c>
      <c r="UTC6" s="2888" t="s">
        <v>3241</v>
      </c>
      <c r="UTD6" s="2888" t="s">
        <v>3241</v>
      </c>
      <c r="UTE6" s="2888" t="s">
        <v>3241</v>
      </c>
      <c r="UTF6" s="2888" t="s">
        <v>3241</v>
      </c>
      <c r="UTG6" s="2888" t="s">
        <v>3241</v>
      </c>
      <c r="UTH6" s="2888" t="s">
        <v>3241</v>
      </c>
      <c r="UTI6" s="2888" t="s">
        <v>3241</v>
      </c>
      <c r="UTJ6" s="2888" t="s">
        <v>3241</v>
      </c>
      <c r="UTK6" s="2888" t="s">
        <v>3241</v>
      </c>
      <c r="UTL6" s="2888" t="s">
        <v>3241</v>
      </c>
      <c r="UTM6" s="2888" t="s">
        <v>3241</v>
      </c>
      <c r="UTN6" s="2888" t="s">
        <v>3241</v>
      </c>
      <c r="UTO6" s="2888" t="s">
        <v>3241</v>
      </c>
      <c r="UTP6" s="2888" t="s">
        <v>3241</v>
      </c>
      <c r="UTQ6" s="2888" t="s">
        <v>3241</v>
      </c>
      <c r="UTR6" s="2888" t="s">
        <v>3241</v>
      </c>
      <c r="UTS6" s="2888" t="s">
        <v>3241</v>
      </c>
      <c r="UTT6" s="2888" t="s">
        <v>3241</v>
      </c>
      <c r="UTU6" s="2888" t="s">
        <v>3241</v>
      </c>
      <c r="UTV6" s="2888" t="s">
        <v>3241</v>
      </c>
      <c r="UTW6" s="2888" t="s">
        <v>3241</v>
      </c>
      <c r="UTX6" s="2888" t="s">
        <v>3241</v>
      </c>
      <c r="UTY6" s="2888" t="s">
        <v>3241</v>
      </c>
      <c r="UTZ6" s="2888" t="s">
        <v>3241</v>
      </c>
      <c r="UUA6" s="2888" t="s">
        <v>3241</v>
      </c>
      <c r="UUB6" s="2888" t="s">
        <v>3241</v>
      </c>
      <c r="UUC6" s="2888" t="s">
        <v>3241</v>
      </c>
      <c r="UUD6" s="2888" t="s">
        <v>3241</v>
      </c>
      <c r="UUE6" s="2888" t="s">
        <v>3241</v>
      </c>
      <c r="UUF6" s="2888" t="s">
        <v>3241</v>
      </c>
      <c r="UUG6" s="2888" t="s">
        <v>3241</v>
      </c>
      <c r="UUH6" s="2888" t="s">
        <v>3241</v>
      </c>
      <c r="UUI6" s="2888" t="s">
        <v>3241</v>
      </c>
      <c r="UUJ6" s="2888" t="s">
        <v>3241</v>
      </c>
      <c r="UUK6" s="2888" t="s">
        <v>3241</v>
      </c>
      <c r="UUL6" s="2888" t="s">
        <v>3241</v>
      </c>
      <c r="UUM6" s="2888" t="s">
        <v>3241</v>
      </c>
      <c r="UUN6" s="2888" t="s">
        <v>3241</v>
      </c>
      <c r="UUO6" s="2888" t="s">
        <v>3241</v>
      </c>
      <c r="UUP6" s="2888" t="s">
        <v>3241</v>
      </c>
      <c r="UUQ6" s="2888" t="s">
        <v>3241</v>
      </c>
      <c r="UUR6" s="2888" t="s">
        <v>3241</v>
      </c>
      <c r="UUS6" s="2888" t="s">
        <v>3241</v>
      </c>
      <c r="UUT6" s="2888" t="s">
        <v>3241</v>
      </c>
      <c r="UUU6" s="2888" t="s">
        <v>3241</v>
      </c>
      <c r="UUV6" s="2888" t="s">
        <v>3241</v>
      </c>
      <c r="UUW6" s="2888" t="s">
        <v>3241</v>
      </c>
      <c r="UUX6" s="2888" t="s">
        <v>3241</v>
      </c>
      <c r="UUY6" s="2888" t="s">
        <v>3241</v>
      </c>
      <c r="UUZ6" s="2888" t="s">
        <v>3241</v>
      </c>
      <c r="UVA6" s="2888" t="s">
        <v>3241</v>
      </c>
      <c r="UVB6" s="2888" t="s">
        <v>3241</v>
      </c>
      <c r="UVC6" s="2888" t="s">
        <v>3241</v>
      </c>
      <c r="UVD6" s="2888" t="s">
        <v>3241</v>
      </c>
      <c r="UVE6" s="2888" t="s">
        <v>3241</v>
      </c>
      <c r="UVF6" s="2888" t="s">
        <v>3241</v>
      </c>
      <c r="UVG6" s="2888" t="s">
        <v>3241</v>
      </c>
      <c r="UVH6" s="2888" t="s">
        <v>3241</v>
      </c>
      <c r="UVI6" s="2888" t="s">
        <v>3241</v>
      </c>
      <c r="UVJ6" s="2888" t="s">
        <v>3241</v>
      </c>
      <c r="UVK6" s="2888" t="s">
        <v>3241</v>
      </c>
      <c r="UVL6" s="2888" t="s">
        <v>3241</v>
      </c>
      <c r="UVM6" s="2888" t="s">
        <v>3241</v>
      </c>
      <c r="UVN6" s="2888" t="s">
        <v>3241</v>
      </c>
      <c r="UVO6" s="2888" t="s">
        <v>3241</v>
      </c>
      <c r="UVP6" s="2888" t="s">
        <v>3241</v>
      </c>
      <c r="UVQ6" s="2888" t="s">
        <v>3241</v>
      </c>
      <c r="UVR6" s="2888" t="s">
        <v>3241</v>
      </c>
      <c r="UVS6" s="2888" t="s">
        <v>3241</v>
      </c>
      <c r="UVT6" s="2888" t="s">
        <v>3241</v>
      </c>
      <c r="UVU6" s="2888" t="s">
        <v>3241</v>
      </c>
      <c r="UVV6" s="2888" t="s">
        <v>3241</v>
      </c>
      <c r="UVW6" s="2888" t="s">
        <v>3241</v>
      </c>
      <c r="UVX6" s="2888" t="s">
        <v>3241</v>
      </c>
      <c r="UVY6" s="2888" t="s">
        <v>3241</v>
      </c>
      <c r="UVZ6" s="2888" t="s">
        <v>3241</v>
      </c>
      <c r="UWA6" s="2888" t="s">
        <v>3241</v>
      </c>
      <c r="UWB6" s="2888" t="s">
        <v>3241</v>
      </c>
      <c r="UWC6" s="2888" t="s">
        <v>3241</v>
      </c>
      <c r="UWD6" s="2888" t="s">
        <v>3241</v>
      </c>
      <c r="UWE6" s="2888" t="s">
        <v>3241</v>
      </c>
      <c r="UWF6" s="2888" t="s">
        <v>3241</v>
      </c>
      <c r="UWG6" s="2888" t="s">
        <v>3241</v>
      </c>
      <c r="UWH6" s="2888" t="s">
        <v>3241</v>
      </c>
      <c r="UWI6" s="2888" t="s">
        <v>3241</v>
      </c>
      <c r="UWJ6" s="2888" t="s">
        <v>3241</v>
      </c>
      <c r="UWK6" s="2888" t="s">
        <v>3241</v>
      </c>
      <c r="UWL6" s="2888" t="s">
        <v>3241</v>
      </c>
      <c r="UWM6" s="2888" t="s">
        <v>3241</v>
      </c>
      <c r="UWN6" s="2888" t="s">
        <v>3241</v>
      </c>
      <c r="UWO6" s="2888" t="s">
        <v>3241</v>
      </c>
      <c r="UWP6" s="2888" t="s">
        <v>3241</v>
      </c>
      <c r="UWQ6" s="2888" t="s">
        <v>3241</v>
      </c>
      <c r="UWR6" s="2888" t="s">
        <v>3241</v>
      </c>
      <c r="UWS6" s="2888" t="s">
        <v>3241</v>
      </c>
      <c r="UWT6" s="2888" t="s">
        <v>3241</v>
      </c>
      <c r="UWU6" s="2888" t="s">
        <v>3241</v>
      </c>
      <c r="UWV6" s="2888" t="s">
        <v>3241</v>
      </c>
      <c r="UWW6" s="2888" t="s">
        <v>3241</v>
      </c>
      <c r="UWX6" s="2888" t="s">
        <v>3241</v>
      </c>
      <c r="UWY6" s="2888" t="s">
        <v>3241</v>
      </c>
      <c r="UWZ6" s="2888" t="s">
        <v>3241</v>
      </c>
      <c r="UXA6" s="2888" t="s">
        <v>3241</v>
      </c>
      <c r="UXB6" s="2888" t="s">
        <v>3241</v>
      </c>
      <c r="UXC6" s="2888" t="s">
        <v>3241</v>
      </c>
      <c r="UXD6" s="2888" t="s">
        <v>3241</v>
      </c>
      <c r="UXE6" s="2888" t="s">
        <v>3241</v>
      </c>
      <c r="UXF6" s="2888" t="s">
        <v>3241</v>
      </c>
      <c r="UXG6" s="2888" t="s">
        <v>3241</v>
      </c>
      <c r="UXH6" s="2888" t="s">
        <v>3241</v>
      </c>
      <c r="UXI6" s="2888" t="s">
        <v>3241</v>
      </c>
      <c r="UXJ6" s="2888" t="s">
        <v>3241</v>
      </c>
      <c r="UXK6" s="2888" t="s">
        <v>3241</v>
      </c>
      <c r="UXL6" s="2888" t="s">
        <v>3241</v>
      </c>
      <c r="UXM6" s="2888" t="s">
        <v>3241</v>
      </c>
      <c r="UXN6" s="2888" t="s">
        <v>3241</v>
      </c>
      <c r="UXO6" s="2888" t="s">
        <v>3241</v>
      </c>
      <c r="UXP6" s="2888" t="s">
        <v>3241</v>
      </c>
      <c r="UXQ6" s="2888" t="s">
        <v>3241</v>
      </c>
      <c r="UXR6" s="2888" t="s">
        <v>3241</v>
      </c>
      <c r="UXS6" s="2888" t="s">
        <v>3241</v>
      </c>
      <c r="UXT6" s="2888" t="s">
        <v>3241</v>
      </c>
      <c r="UXU6" s="2888" t="s">
        <v>3241</v>
      </c>
      <c r="UXV6" s="2888" t="s">
        <v>3241</v>
      </c>
      <c r="UXW6" s="2888" t="s">
        <v>3241</v>
      </c>
      <c r="UXX6" s="2888" t="s">
        <v>3241</v>
      </c>
      <c r="UXY6" s="2888" t="s">
        <v>3241</v>
      </c>
      <c r="UXZ6" s="2888" t="s">
        <v>3241</v>
      </c>
      <c r="UYA6" s="2888" t="s">
        <v>3241</v>
      </c>
      <c r="UYB6" s="2888" t="s">
        <v>3241</v>
      </c>
      <c r="UYC6" s="2888" t="s">
        <v>3241</v>
      </c>
      <c r="UYD6" s="2888" t="s">
        <v>3241</v>
      </c>
      <c r="UYE6" s="2888" t="s">
        <v>3241</v>
      </c>
      <c r="UYF6" s="2888" t="s">
        <v>3241</v>
      </c>
      <c r="UYG6" s="2888" t="s">
        <v>3241</v>
      </c>
      <c r="UYH6" s="2888" t="s">
        <v>3241</v>
      </c>
      <c r="UYI6" s="2888" t="s">
        <v>3241</v>
      </c>
      <c r="UYJ6" s="2888" t="s">
        <v>3241</v>
      </c>
      <c r="UYK6" s="2888" t="s">
        <v>3241</v>
      </c>
      <c r="UYL6" s="2888" t="s">
        <v>3241</v>
      </c>
      <c r="UYM6" s="2888" t="s">
        <v>3241</v>
      </c>
      <c r="UYN6" s="2888" t="s">
        <v>3241</v>
      </c>
      <c r="UYO6" s="2888" t="s">
        <v>3241</v>
      </c>
      <c r="UYP6" s="2888" t="s">
        <v>3241</v>
      </c>
      <c r="UYQ6" s="2888" t="s">
        <v>3241</v>
      </c>
      <c r="UYR6" s="2888" t="s">
        <v>3241</v>
      </c>
      <c r="UYS6" s="2888" t="s">
        <v>3241</v>
      </c>
      <c r="UYT6" s="2888" t="s">
        <v>3241</v>
      </c>
      <c r="UYU6" s="2888" t="s">
        <v>3241</v>
      </c>
      <c r="UYV6" s="2888" t="s">
        <v>3241</v>
      </c>
      <c r="UYW6" s="2888" t="s">
        <v>3241</v>
      </c>
      <c r="UYX6" s="2888" t="s">
        <v>3241</v>
      </c>
      <c r="UYY6" s="2888" t="s">
        <v>3241</v>
      </c>
      <c r="UYZ6" s="2888" t="s">
        <v>3241</v>
      </c>
      <c r="UZA6" s="2888" t="s">
        <v>3241</v>
      </c>
      <c r="UZB6" s="2888" t="s">
        <v>3241</v>
      </c>
      <c r="UZC6" s="2888" t="s">
        <v>3241</v>
      </c>
      <c r="UZD6" s="2888" t="s">
        <v>3241</v>
      </c>
      <c r="UZE6" s="2888" t="s">
        <v>3241</v>
      </c>
      <c r="UZF6" s="2888" t="s">
        <v>3241</v>
      </c>
      <c r="UZG6" s="2888" t="s">
        <v>3241</v>
      </c>
      <c r="UZH6" s="2888" t="s">
        <v>3241</v>
      </c>
      <c r="UZI6" s="2888" t="s">
        <v>3241</v>
      </c>
      <c r="UZJ6" s="2888" t="s">
        <v>3241</v>
      </c>
      <c r="UZK6" s="2888" t="s">
        <v>3241</v>
      </c>
      <c r="UZL6" s="2888" t="s">
        <v>3241</v>
      </c>
      <c r="UZM6" s="2888" t="s">
        <v>3241</v>
      </c>
      <c r="UZN6" s="2888" t="s">
        <v>3241</v>
      </c>
      <c r="UZO6" s="2888" t="s">
        <v>3241</v>
      </c>
      <c r="UZP6" s="2888" t="s">
        <v>3241</v>
      </c>
      <c r="UZQ6" s="2888" t="s">
        <v>3241</v>
      </c>
      <c r="UZR6" s="2888" t="s">
        <v>3241</v>
      </c>
      <c r="UZS6" s="2888" t="s">
        <v>3241</v>
      </c>
      <c r="UZT6" s="2888" t="s">
        <v>3241</v>
      </c>
      <c r="UZU6" s="2888" t="s">
        <v>3241</v>
      </c>
      <c r="UZV6" s="2888" t="s">
        <v>3241</v>
      </c>
      <c r="UZW6" s="2888" t="s">
        <v>3241</v>
      </c>
      <c r="UZX6" s="2888" t="s">
        <v>3241</v>
      </c>
      <c r="UZY6" s="2888" t="s">
        <v>3241</v>
      </c>
      <c r="UZZ6" s="2888" t="s">
        <v>3241</v>
      </c>
      <c r="VAA6" s="2888" t="s">
        <v>3241</v>
      </c>
      <c r="VAB6" s="2888" t="s">
        <v>3241</v>
      </c>
      <c r="VAC6" s="2888" t="s">
        <v>3241</v>
      </c>
      <c r="VAD6" s="2888" t="s">
        <v>3241</v>
      </c>
      <c r="VAE6" s="2888" t="s">
        <v>3241</v>
      </c>
      <c r="VAF6" s="2888" t="s">
        <v>3241</v>
      </c>
      <c r="VAG6" s="2888" t="s">
        <v>3241</v>
      </c>
      <c r="VAH6" s="2888" t="s">
        <v>3241</v>
      </c>
      <c r="VAI6" s="2888" t="s">
        <v>3241</v>
      </c>
      <c r="VAJ6" s="2888" t="s">
        <v>3241</v>
      </c>
      <c r="VAK6" s="2888" t="s">
        <v>3241</v>
      </c>
      <c r="VAL6" s="2888" t="s">
        <v>3241</v>
      </c>
      <c r="VAM6" s="2888" t="s">
        <v>3241</v>
      </c>
      <c r="VAN6" s="2888" t="s">
        <v>3241</v>
      </c>
      <c r="VAO6" s="2888" t="s">
        <v>3241</v>
      </c>
      <c r="VAP6" s="2888" t="s">
        <v>3241</v>
      </c>
      <c r="VAQ6" s="2888" t="s">
        <v>3241</v>
      </c>
      <c r="VAR6" s="2888" t="s">
        <v>3241</v>
      </c>
      <c r="VAS6" s="2888" t="s">
        <v>3241</v>
      </c>
      <c r="VAT6" s="2888" t="s">
        <v>3241</v>
      </c>
      <c r="VAU6" s="2888" t="s">
        <v>3241</v>
      </c>
      <c r="VAV6" s="2888" t="s">
        <v>3241</v>
      </c>
      <c r="VAW6" s="2888" t="s">
        <v>3241</v>
      </c>
      <c r="VAX6" s="2888" t="s">
        <v>3241</v>
      </c>
      <c r="VAY6" s="2888" t="s">
        <v>3241</v>
      </c>
      <c r="VAZ6" s="2888" t="s">
        <v>3241</v>
      </c>
      <c r="VBA6" s="2888" t="s">
        <v>3241</v>
      </c>
      <c r="VBB6" s="2888" t="s">
        <v>3241</v>
      </c>
      <c r="VBC6" s="2888" t="s">
        <v>3241</v>
      </c>
      <c r="VBD6" s="2888" t="s">
        <v>3241</v>
      </c>
      <c r="VBE6" s="2888" t="s">
        <v>3241</v>
      </c>
      <c r="VBF6" s="2888" t="s">
        <v>3241</v>
      </c>
      <c r="VBG6" s="2888" t="s">
        <v>3241</v>
      </c>
      <c r="VBH6" s="2888" t="s">
        <v>3241</v>
      </c>
      <c r="VBI6" s="2888" t="s">
        <v>3241</v>
      </c>
      <c r="VBJ6" s="2888" t="s">
        <v>3241</v>
      </c>
      <c r="VBK6" s="2888" t="s">
        <v>3241</v>
      </c>
      <c r="VBL6" s="2888" t="s">
        <v>3241</v>
      </c>
      <c r="VBM6" s="2888" t="s">
        <v>3241</v>
      </c>
      <c r="VBN6" s="2888" t="s">
        <v>3241</v>
      </c>
      <c r="VBO6" s="2888" t="s">
        <v>3241</v>
      </c>
      <c r="VBP6" s="2888" t="s">
        <v>3241</v>
      </c>
      <c r="VBQ6" s="2888" t="s">
        <v>3241</v>
      </c>
      <c r="VBR6" s="2888" t="s">
        <v>3241</v>
      </c>
      <c r="VBS6" s="2888" t="s">
        <v>3241</v>
      </c>
      <c r="VBT6" s="2888" t="s">
        <v>3241</v>
      </c>
      <c r="VBU6" s="2888" t="s">
        <v>3241</v>
      </c>
      <c r="VBV6" s="2888" t="s">
        <v>3241</v>
      </c>
      <c r="VBW6" s="2888" t="s">
        <v>3241</v>
      </c>
      <c r="VBX6" s="2888" t="s">
        <v>3241</v>
      </c>
      <c r="VBY6" s="2888" t="s">
        <v>3241</v>
      </c>
      <c r="VBZ6" s="2888" t="s">
        <v>3241</v>
      </c>
      <c r="VCA6" s="2888" t="s">
        <v>3241</v>
      </c>
      <c r="VCB6" s="2888" t="s">
        <v>3241</v>
      </c>
      <c r="VCC6" s="2888" t="s">
        <v>3241</v>
      </c>
      <c r="VCD6" s="2888" t="s">
        <v>3241</v>
      </c>
      <c r="VCE6" s="2888" t="s">
        <v>3241</v>
      </c>
      <c r="VCF6" s="2888" t="s">
        <v>3241</v>
      </c>
      <c r="VCG6" s="2888" t="s">
        <v>3241</v>
      </c>
      <c r="VCH6" s="2888" t="s">
        <v>3241</v>
      </c>
      <c r="VCI6" s="2888" t="s">
        <v>3241</v>
      </c>
      <c r="VCJ6" s="2888" t="s">
        <v>3241</v>
      </c>
      <c r="VCK6" s="2888" t="s">
        <v>3241</v>
      </c>
      <c r="VCL6" s="2888" t="s">
        <v>3241</v>
      </c>
      <c r="VCM6" s="2888" t="s">
        <v>3241</v>
      </c>
      <c r="VCN6" s="2888" t="s">
        <v>3241</v>
      </c>
      <c r="VCO6" s="2888" t="s">
        <v>3241</v>
      </c>
      <c r="VCP6" s="2888" t="s">
        <v>3241</v>
      </c>
      <c r="VCQ6" s="2888" t="s">
        <v>3241</v>
      </c>
      <c r="VCR6" s="2888" t="s">
        <v>3241</v>
      </c>
      <c r="VCS6" s="2888" t="s">
        <v>3241</v>
      </c>
      <c r="VCT6" s="2888" t="s">
        <v>3241</v>
      </c>
      <c r="VCU6" s="2888" t="s">
        <v>3241</v>
      </c>
      <c r="VCV6" s="2888" t="s">
        <v>3241</v>
      </c>
      <c r="VCW6" s="2888" t="s">
        <v>3241</v>
      </c>
      <c r="VCX6" s="2888" t="s">
        <v>3241</v>
      </c>
      <c r="VCY6" s="2888" t="s">
        <v>3241</v>
      </c>
      <c r="VCZ6" s="2888" t="s">
        <v>3241</v>
      </c>
      <c r="VDA6" s="2888" t="s">
        <v>3241</v>
      </c>
      <c r="VDB6" s="2888" t="s">
        <v>3241</v>
      </c>
      <c r="VDC6" s="2888" t="s">
        <v>3241</v>
      </c>
      <c r="VDD6" s="2888" t="s">
        <v>3241</v>
      </c>
      <c r="VDE6" s="2888" t="s">
        <v>3241</v>
      </c>
      <c r="VDF6" s="2888" t="s">
        <v>3241</v>
      </c>
      <c r="VDG6" s="2888" t="s">
        <v>3241</v>
      </c>
      <c r="VDH6" s="2888" t="s">
        <v>3241</v>
      </c>
      <c r="VDI6" s="2888" t="s">
        <v>3241</v>
      </c>
      <c r="VDJ6" s="2888" t="s">
        <v>3241</v>
      </c>
      <c r="VDK6" s="2888" t="s">
        <v>3241</v>
      </c>
      <c r="VDL6" s="2888" t="s">
        <v>3241</v>
      </c>
      <c r="VDM6" s="2888" t="s">
        <v>3241</v>
      </c>
      <c r="VDN6" s="2888" t="s">
        <v>3241</v>
      </c>
      <c r="VDO6" s="2888" t="s">
        <v>3241</v>
      </c>
      <c r="VDP6" s="2888" t="s">
        <v>3241</v>
      </c>
      <c r="VDQ6" s="2888" t="s">
        <v>3241</v>
      </c>
      <c r="VDR6" s="2888" t="s">
        <v>3241</v>
      </c>
      <c r="VDS6" s="2888" t="s">
        <v>3241</v>
      </c>
      <c r="VDT6" s="2888" t="s">
        <v>3241</v>
      </c>
      <c r="VDU6" s="2888" t="s">
        <v>3241</v>
      </c>
      <c r="VDV6" s="2888" t="s">
        <v>3241</v>
      </c>
      <c r="VDW6" s="2888" t="s">
        <v>3241</v>
      </c>
      <c r="VDX6" s="2888" t="s">
        <v>3241</v>
      </c>
      <c r="VDY6" s="2888" t="s">
        <v>3241</v>
      </c>
      <c r="VDZ6" s="2888" t="s">
        <v>3241</v>
      </c>
      <c r="VEA6" s="2888" t="s">
        <v>3241</v>
      </c>
      <c r="VEB6" s="2888" t="s">
        <v>3241</v>
      </c>
      <c r="VEC6" s="2888" t="s">
        <v>3241</v>
      </c>
      <c r="VED6" s="2888" t="s">
        <v>3241</v>
      </c>
      <c r="VEE6" s="2888" t="s">
        <v>3241</v>
      </c>
      <c r="VEF6" s="2888" t="s">
        <v>3241</v>
      </c>
      <c r="VEG6" s="2888" t="s">
        <v>3241</v>
      </c>
      <c r="VEH6" s="2888" t="s">
        <v>3241</v>
      </c>
      <c r="VEI6" s="2888" t="s">
        <v>3241</v>
      </c>
      <c r="VEJ6" s="2888" t="s">
        <v>3241</v>
      </c>
      <c r="VEK6" s="2888" t="s">
        <v>3241</v>
      </c>
      <c r="VEL6" s="2888" t="s">
        <v>3241</v>
      </c>
      <c r="VEM6" s="2888" t="s">
        <v>3241</v>
      </c>
      <c r="VEN6" s="2888" t="s">
        <v>3241</v>
      </c>
      <c r="VEO6" s="2888" t="s">
        <v>3241</v>
      </c>
      <c r="VEP6" s="2888" t="s">
        <v>3241</v>
      </c>
      <c r="VEQ6" s="2888" t="s">
        <v>3241</v>
      </c>
      <c r="VER6" s="2888" t="s">
        <v>3241</v>
      </c>
      <c r="VES6" s="2888" t="s">
        <v>3241</v>
      </c>
      <c r="VET6" s="2888" t="s">
        <v>3241</v>
      </c>
      <c r="VEU6" s="2888" t="s">
        <v>3241</v>
      </c>
      <c r="VEV6" s="2888" t="s">
        <v>3241</v>
      </c>
      <c r="VEW6" s="2888" t="s">
        <v>3241</v>
      </c>
      <c r="VEX6" s="2888" t="s">
        <v>3241</v>
      </c>
      <c r="VEY6" s="2888" t="s">
        <v>3241</v>
      </c>
      <c r="VEZ6" s="2888" t="s">
        <v>3241</v>
      </c>
      <c r="VFA6" s="2888" t="s">
        <v>3241</v>
      </c>
      <c r="VFB6" s="2888" t="s">
        <v>3241</v>
      </c>
      <c r="VFC6" s="2888" t="s">
        <v>3241</v>
      </c>
      <c r="VFD6" s="2888" t="s">
        <v>3241</v>
      </c>
      <c r="VFE6" s="2888" t="s">
        <v>3241</v>
      </c>
      <c r="VFF6" s="2888" t="s">
        <v>3241</v>
      </c>
      <c r="VFG6" s="2888" t="s">
        <v>3241</v>
      </c>
      <c r="VFH6" s="2888" t="s">
        <v>3241</v>
      </c>
      <c r="VFI6" s="2888" t="s">
        <v>3241</v>
      </c>
      <c r="VFJ6" s="2888" t="s">
        <v>3241</v>
      </c>
      <c r="VFK6" s="2888" t="s">
        <v>3241</v>
      </c>
      <c r="VFL6" s="2888" t="s">
        <v>3241</v>
      </c>
      <c r="VFM6" s="2888" t="s">
        <v>3241</v>
      </c>
      <c r="VFN6" s="2888" t="s">
        <v>3241</v>
      </c>
      <c r="VFO6" s="2888" t="s">
        <v>3241</v>
      </c>
      <c r="VFP6" s="2888" t="s">
        <v>3241</v>
      </c>
      <c r="VFQ6" s="2888" t="s">
        <v>3241</v>
      </c>
      <c r="VFR6" s="2888" t="s">
        <v>3241</v>
      </c>
      <c r="VFS6" s="2888" t="s">
        <v>3241</v>
      </c>
      <c r="VFT6" s="2888" t="s">
        <v>3241</v>
      </c>
      <c r="VFU6" s="2888" t="s">
        <v>3241</v>
      </c>
      <c r="VFV6" s="2888" t="s">
        <v>3241</v>
      </c>
      <c r="VFW6" s="2888" t="s">
        <v>3241</v>
      </c>
      <c r="VFX6" s="2888" t="s">
        <v>3241</v>
      </c>
      <c r="VFY6" s="2888" t="s">
        <v>3241</v>
      </c>
      <c r="VFZ6" s="2888" t="s">
        <v>3241</v>
      </c>
      <c r="VGA6" s="2888" t="s">
        <v>3241</v>
      </c>
      <c r="VGB6" s="2888" t="s">
        <v>3241</v>
      </c>
      <c r="VGC6" s="2888" t="s">
        <v>3241</v>
      </c>
      <c r="VGD6" s="2888" t="s">
        <v>3241</v>
      </c>
      <c r="VGE6" s="2888" t="s">
        <v>3241</v>
      </c>
      <c r="VGF6" s="2888" t="s">
        <v>3241</v>
      </c>
      <c r="VGG6" s="2888" t="s">
        <v>3241</v>
      </c>
      <c r="VGH6" s="2888" t="s">
        <v>3241</v>
      </c>
      <c r="VGI6" s="2888" t="s">
        <v>3241</v>
      </c>
      <c r="VGJ6" s="2888" t="s">
        <v>3241</v>
      </c>
      <c r="VGK6" s="2888" t="s">
        <v>3241</v>
      </c>
      <c r="VGL6" s="2888" t="s">
        <v>3241</v>
      </c>
      <c r="VGM6" s="2888" t="s">
        <v>3241</v>
      </c>
      <c r="VGN6" s="2888" t="s">
        <v>3241</v>
      </c>
      <c r="VGO6" s="2888" t="s">
        <v>3241</v>
      </c>
      <c r="VGP6" s="2888" t="s">
        <v>3241</v>
      </c>
      <c r="VGQ6" s="2888" t="s">
        <v>3241</v>
      </c>
      <c r="VGR6" s="2888" t="s">
        <v>3241</v>
      </c>
      <c r="VGS6" s="2888" t="s">
        <v>3241</v>
      </c>
      <c r="VGT6" s="2888" t="s">
        <v>3241</v>
      </c>
      <c r="VGU6" s="2888" t="s">
        <v>3241</v>
      </c>
      <c r="VGV6" s="2888" t="s">
        <v>3241</v>
      </c>
      <c r="VGW6" s="2888" t="s">
        <v>3241</v>
      </c>
      <c r="VGX6" s="2888" t="s">
        <v>3241</v>
      </c>
      <c r="VGY6" s="2888" t="s">
        <v>3241</v>
      </c>
      <c r="VGZ6" s="2888" t="s">
        <v>3241</v>
      </c>
      <c r="VHA6" s="2888" t="s">
        <v>3241</v>
      </c>
      <c r="VHB6" s="2888" t="s">
        <v>3241</v>
      </c>
      <c r="VHC6" s="2888" t="s">
        <v>3241</v>
      </c>
      <c r="VHD6" s="2888" t="s">
        <v>3241</v>
      </c>
      <c r="VHE6" s="2888" t="s">
        <v>3241</v>
      </c>
      <c r="VHF6" s="2888" t="s">
        <v>3241</v>
      </c>
      <c r="VHG6" s="2888" t="s">
        <v>3241</v>
      </c>
      <c r="VHH6" s="2888" t="s">
        <v>3241</v>
      </c>
      <c r="VHI6" s="2888" t="s">
        <v>3241</v>
      </c>
      <c r="VHJ6" s="2888" t="s">
        <v>3241</v>
      </c>
      <c r="VHK6" s="2888" t="s">
        <v>3241</v>
      </c>
      <c r="VHL6" s="2888" t="s">
        <v>3241</v>
      </c>
      <c r="VHM6" s="2888" t="s">
        <v>3241</v>
      </c>
      <c r="VHN6" s="2888" t="s">
        <v>3241</v>
      </c>
      <c r="VHO6" s="2888" t="s">
        <v>3241</v>
      </c>
      <c r="VHP6" s="2888" t="s">
        <v>3241</v>
      </c>
      <c r="VHQ6" s="2888" t="s">
        <v>3241</v>
      </c>
      <c r="VHR6" s="2888" t="s">
        <v>3241</v>
      </c>
      <c r="VHS6" s="2888" t="s">
        <v>3241</v>
      </c>
      <c r="VHT6" s="2888" t="s">
        <v>3241</v>
      </c>
      <c r="VHU6" s="2888" t="s">
        <v>3241</v>
      </c>
      <c r="VHV6" s="2888" t="s">
        <v>3241</v>
      </c>
      <c r="VHW6" s="2888" t="s">
        <v>3241</v>
      </c>
      <c r="VHX6" s="2888" t="s">
        <v>3241</v>
      </c>
      <c r="VHY6" s="2888" t="s">
        <v>3241</v>
      </c>
      <c r="VHZ6" s="2888" t="s">
        <v>3241</v>
      </c>
      <c r="VIA6" s="2888" t="s">
        <v>3241</v>
      </c>
      <c r="VIB6" s="2888" t="s">
        <v>3241</v>
      </c>
      <c r="VIC6" s="2888" t="s">
        <v>3241</v>
      </c>
      <c r="VID6" s="2888" t="s">
        <v>3241</v>
      </c>
      <c r="VIE6" s="2888" t="s">
        <v>3241</v>
      </c>
      <c r="VIF6" s="2888" t="s">
        <v>3241</v>
      </c>
      <c r="VIG6" s="2888" t="s">
        <v>3241</v>
      </c>
      <c r="VIH6" s="2888" t="s">
        <v>3241</v>
      </c>
      <c r="VII6" s="2888" t="s">
        <v>3241</v>
      </c>
      <c r="VIJ6" s="2888" t="s">
        <v>3241</v>
      </c>
      <c r="VIK6" s="2888" t="s">
        <v>3241</v>
      </c>
      <c r="VIL6" s="2888" t="s">
        <v>3241</v>
      </c>
      <c r="VIM6" s="2888" t="s">
        <v>3241</v>
      </c>
      <c r="VIN6" s="2888" t="s">
        <v>3241</v>
      </c>
      <c r="VIO6" s="2888" t="s">
        <v>3241</v>
      </c>
      <c r="VIP6" s="2888" t="s">
        <v>3241</v>
      </c>
      <c r="VIQ6" s="2888" t="s">
        <v>3241</v>
      </c>
      <c r="VIR6" s="2888" t="s">
        <v>3241</v>
      </c>
      <c r="VIS6" s="2888" t="s">
        <v>3241</v>
      </c>
      <c r="VIT6" s="2888" t="s">
        <v>3241</v>
      </c>
      <c r="VIU6" s="2888" t="s">
        <v>3241</v>
      </c>
      <c r="VIV6" s="2888" t="s">
        <v>3241</v>
      </c>
      <c r="VIW6" s="2888" t="s">
        <v>3241</v>
      </c>
      <c r="VIX6" s="2888" t="s">
        <v>3241</v>
      </c>
      <c r="VIY6" s="2888" t="s">
        <v>3241</v>
      </c>
      <c r="VIZ6" s="2888" t="s">
        <v>3241</v>
      </c>
      <c r="VJA6" s="2888" t="s">
        <v>3241</v>
      </c>
      <c r="VJB6" s="2888" t="s">
        <v>3241</v>
      </c>
      <c r="VJC6" s="2888" t="s">
        <v>3241</v>
      </c>
      <c r="VJD6" s="2888" t="s">
        <v>3241</v>
      </c>
      <c r="VJE6" s="2888" t="s">
        <v>3241</v>
      </c>
      <c r="VJF6" s="2888" t="s">
        <v>3241</v>
      </c>
      <c r="VJG6" s="2888" t="s">
        <v>3241</v>
      </c>
      <c r="VJH6" s="2888" t="s">
        <v>3241</v>
      </c>
      <c r="VJI6" s="2888" t="s">
        <v>3241</v>
      </c>
      <c r="VJJ6" s="2888" t="s">
        <v>3241</v>
      </c>
      <c r="VJK6" s="2888" t="s">
        <v>3241</v>
      </c>
      <c r="VJL6" s="2888" t="s">
        <v>3241</v>
      </c>
      <c r="VJM6" s="2888" t="s">
        <v>3241</v>
      </c>
      <c r="VJN6" s="2888" t="s">
        <v>3241</v>
      </c>
      <c r="VJO6" s="2888" t="s">
        <v>3241</v>
      </c>
      <c r="VJP6" s="2888" t="s">
        <v>3241</v>
      </c>
      <c r="VJQ6" s="2888" t="s">
        <v>3241</v>
      </c>
      <c r="VJR6" s="2888" t="s">
        <v>3241</v>
      </c>
      <c r="VJS6" s="2888" t="s">
        <v>3241</v>
      </c>
      <c r="VJT6" s="2888" t="s">
        <v>3241</v>
      </c>
      <c r="VJU6" s="2888" t="s">
        <v>3241</v>
      </c>
      <c r="VJV6" s="2888" t="s">
        <v>3241</v>
      </c>
      <c r="VJW6" s="2888" t="s">
        <v>3241</v>
      </c>
      <c r="VJX6" s="2888" t="s">
        <v>3241</v>
      </c>
      <c r="VJY6" s="2888" t="s">
        <v>3241</v>
      </c>
      <c r="VJZ6" s="2888" t="s">
        <v>3241</v>
      </c>
      <c r="VKA6" s="2888" t="s">
        <v>3241</v>
      </c>
      <c r="VKB6" s="2888" t="s">
        <v>3241</v>
      </c>
      <c r="VKC6" s="2888" t="s">
        <v>3241</v>
      </c>
      <c r="VKD6" s="2888" t="s">
        <v>3241</v>
      </c>
      <c r="VKE6" s="2888" t="s">
        <v>3241</v>
      </c>
      <c r="VKF6" s="2888" t="s">
        <v>3241</v>
      </c>
      <c r="VKG6" s="2888" t="s">
        <v>3241</v>
      </c>
      <c r="VKH6" s="2888" t="s">
        <v>3241</v>
      </c>
      <c r="VKI6" s="2888" t="s">
        <v>3241</v>
      </c>
      <c r="VKJ6" s="2888" t="s">
        <v>3241</v>
      </c>
      <c r="VKK6" s="2888" t="s">
        <v>3241</v>
      </c>
      <c r="VKL6" s="2888" t="s">
        <v>3241</v>
      </c>
      <c r="VKM6" s="2888" t="s">
        <v>3241</v>
      </c>
      <c r="VKN6" s="2888" t="s">
        <v>3241</v>
      </c>
      <c r="VKO6" s="2888" t="s">
        <v>3241</v>
      </c>
      <c r="VKP6" s="2888" t="s">
        <v>3241</v>
      </c>
      <c r="VKQ6" s="2888" t="s">
        <v>3241</v>
      </c>
      <c r="VKR6" s="2888" t="s">
        <v>3241</v>
      </c>
      <c r="VKS6" s="2888" t="s">
        <v>3241</v>
      </c>
      <c r="VKT6" s="2888" t="s">
        <v>3241</v>
      </c>
      <c r="VKU6" s="2888" t="s">
        <v>3241</v>
      </c>
      <c r="VKV6" s="2888" t="s">
        <v>3241</v>
      </c>
      <c r="VKW6" s="2888" t="s">
        <v>3241</v>
      </c>
      <c r="VKX6" s="2888" t="s">
        <v>3241</v>
      </c>
      <c r="VKY6" s="2888" t="s">
        <v>3241</v>
      </c>
      <c r="VKZ6" s="2888" t="s">
        <v>3241</v>
      </c>
      <c r="VLA6" s="2888" t="s">
        <v>3241</v>
      </c>
      <c r="VLB6" s="2888" t="s">
        <v>3241</v>
      </c>
      <c r="VLC6" s="2888" t="s">
        <v>3241</v>
      </c>
      <c r="VLD6" s="2888" t="s">
        <v>3241</v>
      </c>
      <c r="VLE6" s="2888" t="s">
        <v>3241</v>
      </c>
      <c r="VLF6" s="2888" t="s">
        <v>3241</v>
      </c>
      <c r="VLG6" s="2888" t="s">
        <v>3241</v>
      </c>
      <c r="VLH6" s="2888" t="s">
        <v>3241</v>
      </c>
      <c r="VLI6" s="2888" t="s">
        <v>3241</v>
      </c>
      <c r="VLJ6" s="2888" t="s">
        <v>3241</v>
      </c>
      <c r="VLK6" s="2888" t="s">
        <v>3241</v>
      </c>
      <c r="VLL6" s="2888" t="s">
        <v>3241</v>
      </c>
      <c r="VLM6" s="2888" t="s">
        <v>3241</v>
      </c>
      <c r="VLN6" s="2888" t="s">
        <v>3241</v>
      </c>
      <c r="VLO6" s="2888" t="s">
        <v>3241</v>
      </c>
      <c r="VLP6" s="2888" t="s">
        <v>3241</v>
      </c>
      <c r="VLQ6" s="2888" t="s">
        <v>3241</v>
      </c>
      <c r="VLR6" s="2888" t="s">
        <v>3241</v>
      </c>
      <c r="VLS6" s="2888" t="s">
        <v>3241</v>
      </c>
      <c r="VLT6" s="2888" t="s">
        <v>3241</v>
      </c>
      <c r="VLU6" s="2888" t="s">
        <v>3241</v>
      </c>
      <c r="VLV6" s="2888" t="s">
        <v>3241</v>
      </c>
      <c r="VLW6" s="2888" t="s">
        <v>3241</v>
      </c>
      <c r="VLX6" s="2888" t="s">
        <v>3241</v>
      </c>
      <c r="VLY6" s="2888" t="s">
        <v>3241</v>
      </c>
      <c r="VLZ6" s="2888" t="s">
        <v>3241</v>
      </c>
      <c r="VMA6" s="2888" t="s">
        <v>3241</v>
      </c>
      <c r="VMB6" s="2888" t="s">
        <v>3241</v>
      </c>
      <c r="VMC6" s="2888" t="s">
        <v>3241</v>
      </c>
      <c r="VMD6" s="2888" t="s">
        <v>3241</v>
      </c>
      <c r="VME6" s="2888" t="s">
        <v>3241</v>
      </c>
      <c r="VMF6" s="2888" t="s">
        <v>3241</v>
      </c>
      <c r="VMG6" s="2888" t="s">
        <v>3241</v>
      </c>
      <c r="VMH6" s="2888" t="s">
        <v>3241</v>
      </c>
      <c r="VMI6" s="2888" t="s">
        <v>3241</v>
      </c>
      <c r="VMJ6" s="2888" t="s">
        <v>3241</v>
      </c>
      <c r="VMK6" s="2888" t="s">
        <v>3241</v>
      </c>
      <c r="VML6" s="2888" t="s">
        <v>3241</v>
      </c>
      <c r="VMM6" s="2888" t="s">
        <v>3241</v>
      </c>
      <c r="VMN6" s="2888" t="s">
        <v>3241</v>
      </c>
      <c r="VMO6" s="2888" t="s">
        <v>3241</v>
      </c>
      <c r="VMP6" s="2888" t="s">
        <v>3241</v>
      </c>
      <c r="VMQ6" s="2888" t="s">
        <v>3241</v>
      </c>
      <c r="VMR6" s="2888" t="s">
        <v>3241</v>
      </c>
      <c r="VMS6" s="2888" t="s">
        <v>3241</v>
      </c>
      <c r="VMT6" s="2888" t="s">
        <v>3241</v>
      </c>
      <c r="VMU6" s="2888" t="s">
        <v>3241</v>
      </c>
      <c r="VMV6" s="2888" t="s">
        <v>3241</v>
      </c>
      <c r="VMW6" s="2888" t="s">
        <v>3241</v>
      </c>
      <c r="VMX6" s="2888" t="s">
        <v>3241</v>
      </c>
      <c r="VMY6" s="2888" t="s">
        <v>3241</v>
      </c>
      <c r="VMZ6" s="2888" t="s">
        <v>3241</v>
      </c>
      <c r="VNA6" s="2888" t="s">
        <v>3241</v>
      </c>
      <c r="VNB6" s="2888" t="s">
        <v>3241</v>
      </c>
      <c r="VNC6" s="2888" t="s">
        <v>3241</v>
      </c>
      <c r="VND6" s="2888" t="s">
        <v>3241</v>
      </c>
      <c r="VNE6" s="2888" t="s">
        <v>3241</v>
      </c>
      <c r="VNF6" s="2888" t="s">
        <v>3241</v>
      </c>
      <c r="VNG6" s="2888" t="s">
        <v>3241</v>
      </c>
      <c r="VNH6" s="2888" t="s">
        <v>3241</v>
      </c>
      <c r="VNI6" s="2888" t="s">
        <v>3241</v>
      </c>
      <c r="VNJ6" s="2888" t="s">
        <v>3241</v>
      </c>
      <c r="VNK6" s="2888" t="s">
        <v>3241</v>
      </c>
      <c r="VNL6" s="2888" t="s">
        <v>3241</v>
      </c>
      <c r="VNM6" s="2888" t="s">
        <v>3241</v>
      </c>
      <c r="VNN6" s="2888" t="s">
        <v>3241</v>
      </c>
      <c r="VNO6" s="2888" t="s">
        <v>3241</v>
      </c>
      <c r="VNP6" s="2888" t="s">
        <v>3241</v>
      </c>
      <c r="VNQ6" s="2888" t="s">
        <v>3241</v>
      </c>
      <c r="VNR6" s="2888" t="s">
        <v>3241</v>
      </c>
      <c r="VNS6" s="2888" t="s">
        <v>3241</v>
      </c>
      <c r="VNT6" s="2888" t="s">
        <v>3241</v>
      </c>
      <c r="VNU6" s="2888" t="s">
        <v>3241</v>
      </c>
      <c r="VNV6" s="2888" t="s">
        <v>3241</v>
      </c>
      <c r="VNW6" s="2888" t="s">
        <v>3241</v>
      </c>
      <c r="VNX6" s="2888" t="s">
        <v>3241</v>
      </c>
      <c r="VNY6" s="2888" t="s">
        <v>3241</v>
      </c>
      <c r="VNZ6" s="2888" t="s">
        <v>3241</v>
      </c>
      <c r="VOA6" s="2888" t="s">
        <v>3241</v>
      </c>
      <c r="VOB6" s="2888" t="s">
        <v>3241</v>
      </c>
      <c r="VOC6" s="2888" t="s">
        <v>3241</v>
      </c>
      <c r="VOD6" s="2888" t="s">
        <v>3241</v>
      </c>
      <c r="VOE6" s="2888" t="s">
        <v>3241</v>
      </c>
      <c r="VOF6" s="2888" t="s">
        <v>3241</v>
      </c>
      <c r="VOG6" s="2888" t="s">
        <v>3241</v>
      </c>
      <c r="VOH6" s="2888" t="s">
        <v>3241</v>
      </c>
      <c r="VOI6" s="2888" t="s">
        <v>3241</v>
      </c>
      <c r="VOJ6" s="2888" t="s">
        <v>3241</v>
      </c>
      <c r="VOK6" s="2888" t="s">
        <v>3241</v>
      </c>
      <c r="VOL6" s="2888" t="s">
        <v>3241</v>
      </c>
      <c r="VOM6" s="2888" t="s">
        <v>3241</v>
      </c>
      <c r="VON6" s="2888" t="s">
        <v>3241</v>
      </c>
      <c r="VOO6" s="2888" t="s">
        <v>3241</v>
      </c>
      <c r="VOP6" s="2888" t="s">
        <v>3241</v>
      </c>
      <c r="VOQ6" s="2888" t="s">
        <v>3241</v>
      </c>
      <c r="VOR6" s="2888" t="s">
        <v>3241</v>
      </c>
      <c r="VOS6" s="2888" t="s">
        <v>3241</v>
      </c>
      <c r="VOT6" s="2888" t="s">
        <v>3241</v>
      </c>
      <c r="VOU6" s="2888" t="s">
        <v>3241</v>
      </c>
      <c r="VOV6" s="2888" t="s">
        <v>3241</v>
      </c>
      <c r="VOW6" s="2888" t="s">
        <v>3241</v>
      </c>
      <c r="VOX6" s="2888" t="s">
        <v>3241</v>
      </c>
      <c r="VOY6" s="2888" t="s">
        <v>3241</v>
      </c>
      <c r="VOZ6" s="2888" t="s">
        <v>3241</v>
      </c>
      <c r="VPA6" s="2888" t="s">
        <v>3241</v>
      </c>
      <c r="VPB6" s="2888" t="s">
        <v>3241</v>
      </c>
      <c r="VPC6" s="2888" t="s">
        <v>3241</v>
      </c>
      <c r="VPD6" s="2888" t="s">
        <v>3241</v>
      </c>
      <c r="VPE6" s="2888" t="s">
        <v>3241</v>
      </c>
      <c r="VPF6" s="2888" t="s">
        <v>3241</v>
      </c>
      <c r="VPG6" s="2888" t="s">
        <v>3241</v>
      </c>
      <c r="VPH6" s="2888" t="s">
        <v>3241</v>
      </c>
      <c r="VPI6" s="2888" t="s">
        <v>3241</v>
      </c>
      <c r="VPJ6" s="2888" t="s">
        <v>3241</v>
      </c>
      <c r="VPK6" s="2888" t="s">
        <v>3241</v>
      </c>
      <c r="VPL6" s="2888" t="s">
        <v>3241</v>
      </c>
      <c r="VPM6" s="2888" t="s">
        <v>3241</v>
      </c>
      <c r="VPN6" s="2888" t="s">
        <v>3241</v>
      </c>
      <c r="VPO6" s="2888" t="s">
        <v>3241</v>
      </c>
      <c r="VPP6" s="2888" t="s">
        <v>3241</v>
      </c>
      <c r="VPQ6" s="2888" t="s">
        <v>3241</v>
      </c>
      <c r="VPR6" s="2888" t="s">
        <v>3241</v>
      </c>
      <c r="VPS6" s="2888" t="s">
        <v>3241</v>
      </c>
      <c r="VPT6" s="2888" t="s">
        <v>3241</v>
      </c>
      <c r="VPU6" s="2888" t="s">
        <v>3241</v>
      </c>
      <c r="VPV6" s="2888" t="s">
        <v>3241</v>
      </c>
      <c r="VPW6" s="2888" t="s">
        <v>3241</v>
      </c>
      <c r="VPX6" s="2888" t="s">
        <v>3241</v>
      </c>
      <c r="VPY6" s="2888" t="s">
        <v>3241</v>
      </c>
      <c r="VPZ6" s="2888" t="s">
        <v>3241</v>
      </c>
      <c r="VQA6" s="2888" t="s">
        <v>3241</v>
      </c>
      <c r="VQB6" s="2888" t="s">
        <v>3241</v>
      </c>
      <c r="VQC6" s="2888" t="s">
        <v>3241</v>
      </c>
      <c r="VQD6" s="2888" t="s">
        <v>3241</v>
      </c>
      <c r="VQE6" s="2888" t="s">
        <v>3241</v>
      </c>
      <c r="VQF6" s="2888" t="s">
        <v>3241</v>
      </c>
      <c r="VQG6" s="2888" t="s">
        <v>3241</v>
      </c>
      <c r="VQH6" s="2888" t="s">
        <v>3241</v>
      </c>
      <c r="VQI6" s="2888" t="s">
        <v>3241</v>
      </c>
      <c r="VQJ6" s="2888" t="s">
        <v>3241</v>
      </c>
      <c r="VQK6" s="2888" t="s">
        <v>3241</v>
      </c>
      <c r="VQL6" s="2888" t="s">
        <v>3241</v>
      </c>
      <c r="VQM6" s="2888" t="s">
        <v>3241</v>
      </c>
      <c r="VQN6" s="2888" t="s">
        <v>3241</v>
      </c>
      <c r="VQO6" s="2888" t="s">
        <v>3241</v>
      </c>
      <c r="VQP6" s="2888" t="s">
        <v>3241</v>
      </c>
      <c r="VQQ6" s="2888" t="s">
        <v>3241</v>
      </c>
      <c r="VQR6" s="2888" t="s">
        <v>3241</v>
      </c>
      <c r="VQS6" s="2888" t="s">
        <v>3241</v>
      </c>
      <c r="VQT6" s="2888" t="s">
        <v>3241</v>
      </c>
      <c r="VQU6" s="2888" t="s">
        <v>3241</v>
      </c>
      <c r="VQV6" s="2888" t="s">
        <v>3241</v>
      </c>
      <c r="VQW6" s="2888" t="s">
        <v>3241</v>
      </c>
      <c r="VQX6" s="2888" t="s">
        <v>3241</v>
      </c>
      <c r="VQY6" s="2888" t="s">
        <v>3241</v>
      </c>
      <c r="VQZ6" s="2888" t="s">
        <v>3241</v>
      </c>
      <c r="VRA6" s="2888" t="s">
        <v>3241</v>
      </c>
      <c r="VRB6" s="2888" t="s">
        <v>3241</v>
      </c>
      <c r="VRC6" s="2888" t="s">
        <v>3241</v>
      </c>
      <c r="VRD6" s="2888" t="s">
        <v>3241</v>
      </c>
      <c r="VRE6" s="2888" t="s">
        <v>3241</v>
      </c>
      <c r="VRF6" s="2888" t="s">
        <v>3241</v>
      </c>
      <c r="VRG6" s="2888" t="s">
        <v>3241</v>
      </c>
      <c r="VRH6" s="2888" t="s">
        <v>3241</v>
      </c>
      <c r="VRI6" s="2888" t="s">
        <v>3241</v>
      </c>
      <c r="VRJ6" s="2888" t="s">
        <v>3241</v>
      </c>
      <c r="VRK6" s="2888" t="s">
        <v>3241</v>
      </c>
      <c r="VRL6" s="2888" t="s">
        <v>3241</v>
      </c>
      <c r="VRM6" s="2888" t="s">
        <v>3241</v>
      </c>
      <c r="VRN6" s="2888" t="s">
        <v>3241</v>
      </c>
      <c r="VRO6" s="2888" t="s">
        <v>3241</v>
      </c>
      <c r="VRP6" s="2888" t="s">
        <v>3241</v>
      </c>
      <c r="VRQ6" s="2888" t="s">
        <v>3241</v>
      </c>
      <c r="VRR6" s="2888" t="s">
        <v>3241</v>
      </c>
      <c r="VRS6" s="2888" t="s">
        <v>3241</v>
      </c>
      <c r="VRT6" s="2888" t="s">
        <v>3241</v>
      </c>
      <c r="VRU6" s="2888" t="s">
        <v>3241</v>
      </c>
      <c r="VRV6" s="2888" t="s">
        <v>3241</v>
      </c>
      <c r="VRW6" s="2888" t="s">
        <v>3241</v>
      </c>
      <c r="VRX6" s="2888" t="s">
        <v>3241</v>
      </c>
      <c r="VRY6" s="2888" t="s">
        <v>3241</v>
      </c>
      <c r="VRZ6" s="2888" t="s">
        <v>3241</v>
      </c>
      <c r="VSA6" s="2888" t="s">
        <v>3241</v>
      </c>
      <c r="VSB6" s="2888" t="s">
        <v>3241</v>
      </c>
      <c r="VSC6" s="2888" t="s">
        <v>3241</v>
      </c>
      <c r="VSD6" s="2888" t="s">
        <v>3241</v>
      </c>
      <c r="VSE6" s="2888" t="s">
        <v>3241</v>
      </c>
      <c r="VSF6" s="2888" t="s">
        <v>3241</v>
      </c>
      <c r="VSG6" s="2888" t="s">
        <v>3241</v>
      </c>
      <c r="VSH6" s="2888" t="s">
        <v>3241</v>
      </c>
      <c r="VSI6" s="2888" t="s">
        <v>3241</v>
      </c>
      <c r="VSJ6" s="2888" t="s">
        <v>3241</v>
      </c>
      <c r="VSK6" s="2888" t="s">
        <v>3241</v>
      </c>
      <c r="VSL6" s="2888" t="s">
        <v>3241</v>
      </c>
      <c r="VSM6" s="2888" t="s">
        <v>3241</v>
      </c>
      <c r="VSN6" s="2888" t="s">
        <v>3241</v>
      </c>
      <c r="VSO6" s="2888" t="s">
        <v>3241</v>
      </c>
      <c r="VSP6" s="2888" t="s">
        <v>3241</v>
      </c>
      <c r="VSQ6" s="2888" t="s">
        <v>3241</v>
      </c>
      <c r="VSR6" s="2888" t="s">
        <v>3241</v>
      </c>
      <c r="VSS6" s="2888" t="s">
        <v>3241</v>
      </c>
      <c r="VST6" s="2888" t="s">
        <v>3241</v>
      </c>
      <c r="VSU6" s="2888" t="s">
        <v>3241</v>
      </c>
      <c r="VSV6" s="2888" t="s">
        <v>3241</v>
      </c>
      <c r="VSW6" s="2888" t="s">
        <v>3241</v>
      </c>
      <c r="VSX6" s="2888" t="s">
        <v>3241</v>
      </c>
      <c r="VSY6" s="2888" t="s">
        <v>3241</v>
      </c>
      <c r="VSZ6" s="2888" t="s">
        <v>3241</v>
      </c>
      <c r="VTA6" s="2888" t="s">
        <v>3241</v>
      </c>
      <c r="VTB6" s="2888" t="s">
        <v>3241</v>
      </c>
      <c r="VTC6" s="2888" t="s">
        <v>3241</v>
      </c>
      <c r="VTD6" s="2888" t="s">
        <v>3241</v>
      </c>
      <c r="VTE6" s="2888" t="s">
        <v>3241</v>
      </c>
      <c r="VTF6" s="2888" t="s">
        <v>3241</v>
      </c>
      <c r="VTG6" s="2888" t="s">
        <v>3241</v>
      </c>
      <c r="VTH6" s="2888" t="s">
        <v>3241</v>
      </c>
      <c r="VTI6" s="2888" t="s">
        <v>3241</v>
      </c>
      <c r="VTJ6" s="2888" t="s">
        <v>3241</v>
      </c>
      <c r="VTK6" s="2888" t="s">
        <v>3241</v>
      </c>
      <c r="VTL6" s="2888" t="s">
        <v>3241</v>
      </c>
      <c r="VTM6" s="2888" t="s">
        <v>3241</v>
      </c>
      <c r="VTN6" s="2888" t="s">
        <v>3241</v>
      </c>
      <c r="VTO6" s="2888" t="s">
        <v>3241</v>
      </c>
      <c r="VTP6" s="2888" t="s">
        <v>3241</v>
      </c>
      <c r="VTQ6" s="2888" t="s">
        <v>3241</v>
      </c>
      <c r="VTR6" s="2888" t="s">
        <v>3241</v>
      </c>
      <c r="VTS6" s="2888" t="s">
        <v>3241</v>
      </c>
      <c r="VTT6" s="2888" t="s">
        <v>3241</v>
      </c>
      <c r="VTU6" s="2888" t="s">
        <v>3241</v>
      </c>
      <c r="VTV6" s="2888" t="s">
        <v>3241</v>
      </c>
      <c r="VTW6" s="2888" t="s">
        <v>3241</v>
      </c>
      <c r="VTX6" s="2888" t="s">
        <v>3241</v>
      </c>
      <c r="VTY6" s="2888" t="s">
        <v>3241</v>
      </c>
      <c r="VTZ6" s="2888" t="s">
        <v>3241</v>
      </c>
      <c r="VUA6" s="2888" t="s">
        <v>3241</v>
      </c>
      <c r="VUB6" s="2888" t="s">
        <v>3241</v>
      </c>
      <c r="VUC6" s="2888" t="s">
        <v>3241</v>
      </c>
      <c r="VUD6" s="2888" t="s">
        <v>3241</v>
      </c>
      <c r="VUE6" s="2888" t="s">
        <v>3241</v>
      </c>
      <c r="VUF6" s="2888" t="s">
        <v>3241</v>
      </c>
      <c r="VUG6" s="2888" t="s">
        <v>3241</v>
      </c>
      <c r="VUH6" s="2888" t="s">
        <v>3241</v>
      </c>
      <c r="VUI6" s="2888" t="s">
        <v>3241</v>
      </c>
      <c r="VUJ6" s="2888" t="s">
        <v>3241</v>
      </c>
      <c r="VUK6" s="2888" t="s">
        <v>3241</v>
      </c>
      <c r="VUL6" s="2888" t="s">
        <v>3241</v>
      </c>
      <c r="VUM6" s="2888" t="s">
        <v>3241</v>
      </c>
      <c r="VUN6" s="2888" t="s">
        <v>3241</v>
      </c>
      <c r="VUO6" s="2888" t="s">
        <v>3241</v>
      </c>
      <c r="VUP6" s="2888" t="s">
        <v>3241</v>
      </c>
      <c r="VUQ6" s="2888" t="s">
        <v>3241</v>
      </c>
      <c r="VUR6" s="2888" t="s">
        <v>3241</v>
      </c>
      <c r="VUS6" s="2888" t="s">
        <v>3241</v>
      </c>
      <c r="VUT6" s="2888" t="s">
        <v>3241</v>
      </c>
      <c r="VUU6" s="2888" t="s">
        <v>3241</v>
      </c>
      <c r="VUV6" s="2888" t="s">
        <v>3241</v>
      </c>
      <c r="VUW6" s="2888" t="s">
        <v>3241</v>
      </c>
      <c r="VUX6" s="2888" t="s">
        <v>3241</v>
      </c>
      <c r="VUY6" s="2888" t="s">
        <v>3241</v>
      </c>
      <c r="VUZ6" s="2888" t="s">
        <v>3241</v>
      </c>
      <c r="VVA6" s="2888" t="s">
        <v>3241</v>
      </c>
      <c r="VVB6" s="2888" t="s">
        <v>3241</v>
      </c>
      <c r="VVC6" s="2888" t="s">
        <v>3241</v>
      </c>
      <c r="VVD6" s="2888" t="s">
        <v>3241</v>
      </c>
      <c r="VVE6" s="2888" t="s">
        <v>3241</v>
      </c>
      <c r="VVF6" s="2888" t="s">
        <v>3241</v>
      </c>
      <c r="VVG6" s="2888" t="s">
        <v>3241</v>
      </c>
      <c r="VVH6" s="2888" t="s">
        <v>3241</v>
      </c>
      <c r="VVI6" s="2888" t="s">
        <v>3241</v>
      </c>
      <c r="VVJ6" s="2888" t="s">
        <v>3241</v>
      </c>
      <c r="VVK6" s="2888" t="s">
        <v>3241</v>
      </c>
      <c r="VVL6" s="2888" t="s">
        <v>3241</v>
      </c>
      <c r="VVM6" s="2888" t="s">
        <v>3241</v>
      </c>
      <c r="VVN6" s="2888" t="s">
        <v>3241</v>
      </c>
      <c r="VVO6" s="2888" t="s">
        <v>3241</v>
      </c>
      <c r="VVP6" s="2888" t="s">
        <v>3241</v>
      </c>
      <c r="VVQ6" s="2888" t="s">
        <v>3241</v>
      </c>
      <c r="VVR6" s="2888" t="s">
        <v>3241</v>
      </c>
      <c r="VVS6" s="2888" t="s">
        <v>3241</v>
      </c>
      <c r="VVT6" s="2888" t="s">
        <v>3241</v>
      </c>
      <c r="VVU6" s="2888" t="s">
        <v>3241</v>
      </c>
      <c r="VVV6" s="2888" t="s">
        <v>3241</v>
      </c>
      <c r="VVW6" s="2888" t="s">
        <v>3241</v>
      </c>
      <c r="VVX6" s="2888" t="s">
        <v>3241</v>
      </c>
      <c r="VVY6" s="2888" t="s">
        <v>3241</v>
      </c>
      <c r="VVZ6" s="2888" t="s">
        <v>3241</v>
      </c>
      <c r="VWA6" s="2888" t="s">
        <v>3241</v>
      </c>
      <c r="VWB6" s="2888" t="s">
        <v>3241</v>
      </c>
      <c r="VWC6" s="2888" t="s">
        <v>3241</v>
      </c>
      <c r="VWD6" s="2888" t="s">
        <v>3241</v>
      </c>
      <c r="VWE6" s="2888" t="s">
        <v>3241</v>
      </c>
      <c r="VWF6" s="2888" t="s">
        <v>3241</v>
      </c>
      <c r="VWG6" s="2888" t="s">
        <v>3241</v>
      </c>
      <c r="VWH6" s="2888" t="s">
        <v>3241</v>
      </c>
      <c r="VWI6" s="2888" t="s">
        <v>3241</v>
      </c>
      <c r="VWJ6" s="2888" t="s">
        <v>3241</v>
      </c>
      <c r="VWK6" s="2888" t="s">
        <v>3241</v>
      </c>
      <c r="VWL6" s="2888" t="s">
        <v>3241</v>
      </c>
      <c r="VWM6" s="2888" t="s">
        <v>3241</v>
      </c>
      <c r="VWN6" s="2888" t="s">
        <v>3241</v>
      </c>
      <c r="VWO6" s="2888" t="s">
        <v>3241</v>
      </c>
      <c r="VWP6" s="2888" t="s">
        <v>3241</v>
      </c>
      <c r="VWQ6" s="2888" t="s">
        <v>3241</v>
      </c>
      <c r="VWR6" s="2888" t="s">
        <v>3241</v>
      </c>
      <c r="VWS6" s="2888" t="s">
        <v>3241</v>
      </c>
      <c r="VWT6" s="2888" t="s">
        <v>3241</v>
      </c>
      <c r="VWU6" s="2888" t="s">
        <v>3241</v>
      </c>
      <c r="VWV6" s="2888" t="s">
        <v>3241</v>
      </c>
      <c r="VWW6" s="2888" t="s">
        <v>3241</v>
      </c>
      <c r="VWX6" s="2888" t="s">
        <v>3241</v>
      </c>
      <c r="VWY6" s="2888" t="s">
        <v>3241</v>
      </c>
      <c r="VWZ6" s="2888" t="s">
        <v>3241</v>
      </c>
      <c r="VXA6" s="2888" t="s">
        <v>3241</v>
      </c>
      <c r="VXB6" s="2888" t="s">
        <v>3241</v>
      </c>
      <c r="VXC6" s="2888" t="s">
        <v>3241</v>
      </c>
      <c r="VXD6" s="2888" t="s">
        <v>3241</v>
      </c>
      <c r="VXE6" s="2888" t="s">
        <v>3241</v>
      </c>
      <c r="VXF6" s="2888" t="s">
        <v>3241</v>
      </c>
      <c r="VXG6" s="2888" t="s">
        <v>3241</v>
      </c>
      <c r="VXH6" s="2888" t="s">
        <v>3241</v>
      </c>
      <c r="VXI6" s="2888" t="s">
        <v>3241</v>
      </c>
      <c r="VXJ6" s="2888" t="s">
        <v>3241</v>
      </c>
      <c r="VXK6" s="2888" t="s">
        <v>3241</v>
      </c>
      <c r="VXL6" s="2888" t="s">
        <v>3241</v>
      </c>
      <c r="VXM6" s="2888" t="s">
        <v>3241</v>
      </c>
      <c r="VXN6" s="2888" t="s">
        <v>3241</v>
      </c>
      <c r="VXO6" s="2888" t="s">
        <v>3241</v>
      </c>
      <c r="VXP6" s="2888" t="s">
        <v>3241</v>
      </c>
      <c r="VXQ6" s="2888" t="s">
        <v>3241</v>
      </c>
      <c r="VXR6" s="2888" t="s">
        <v>3241</v>
      </c>
      <c r="VXS6" s="2888" t="s">
        <v>3241</v>
      </c>
      <c r="VXT6" s="2888" t="s">
        <v>3241</v>
      </c>
      <c r="VXU6" s="2888" t="s">
        <v>3241</v>
      </c>
      <c r="VXV6" s="2888" t="s">
        <v>3241</v>
      </c>
      <c r="VXW6" s="2888" t="s">
        <v>3241</v>
      </c>
      <c r="VXX6" s="2888" t="s">
        <v>3241</v>
      </c>
      <c r="VXY6" s="2888" t="s">
        <v>3241</v>
      </c>
      <c r="VXZ6" s="2888" t="s">
        <v>3241</v>
      </c>
      <c r="VYA6" s="2888" t="s">
        <v>3241</v>
      </c>
      <c r="VYB6" s="2888" t="s">
        <v>3241</v>
      </c>
      <c r="VYC6" s="2888" t="s">
        <v>3241</v>
      </c>
      <c r="VYD6" s="2888" t="s">
        <v>3241</v>
      </c>
      <c r="VYE6" s="2888" t="s">
        <v>3241</v>
      </c>
      <c r="VYF6" s="2888" t="s">
        <v>3241</v>
      </c>
      <c r="VYG6" s="2888" t="s">
        <v>3241</v>
      </c>
      <c r="VYH6" s="2888" t="s">
        <v>3241</v>
      </c>
      <c r="VYI6" s="2888" t="s">
        <v>3241</v>
      </c>
      <c r="VYJ6" s="2888" t="s">
        <v>3241</v>
      </c>
      <c r="VYK6" s="2888" t="s">
        <v>3241</v>
      </c>
      <c r="VYL6" s="2888" t="s">
        <v>3241</v>
      </c>
      <c r="VYM6" s="2888" t="s">
        <v>3241</v>
      </c>
      <c r="VYN6" s="2888" t="s">
        <v>3241</v>
      </c>
      <c r="VYO6" s="2888" t="s">
        <v>3241</v>
      </c>
      <c r="VYP6" s="2888" t="s">
        <v>3241</v>
      </c>
      <c r="VYQ6" s="2888" t="s">
        <v>3241</v>
      </c>
      <c r="VYR6" s="2888" t="s">
        <v>3241</v>
      </c>
      <c r="VYS6" s="2888" t="s">
        <v>3241</v>
      </c>
      <c r="VYT6" s="2888" t="s">
        <v>3241</v>
      </c>
      <c r="VYU6" s="2888" t="s">
        <v>3241</v>
      </c>
      <c r="VYV6" s="2888" t="s">
        <v>3241</v>
      </c>
      <c r="VYW6" s="2888" t="s">
        <v>3241</v>
      </c>
      <c r="VYX6" s="2888" t="s">
        <v>3241</v>
      </c>
      <c r="VYY6" s="2888" t="s">
        <v>3241</v>
      </c>
      <c r="VYZ6" s="2888" t="s">
        <v>3241</v>
      </c>
      <c r="VZA6" s="2888" t="s">
        <v>3241</v>
      </c>
      <c r="VZB6" s="2888" t="s">
        <v>3241</v>
      </c>
      <c r="VZC6" s="2888" t="s">
        <v>3241</v>
      </c>
      <c r="VZD6" s="2888" t="s">
        <v>3241</v>
      </c>
      <c r="VZE6" s="2888" t="s">
        <v>3241</v>
      </c>
      <c r="VZF6" s="2888" t="s">
        <v>3241</v>
      </c>
      <c r="VZG6" s="2888" t="s">
        <v>3241</v>
      </c>
      <c r="VZH6" s="2888" t="s">
        <v>3241</v>
      </c>
      <c r="VZI6" s="2888" t="s">
        <v>3241</v>
      </c>
      <c r="VZJ6" s="2888" t="s">
        <v>3241</v>
      </c>
      <c r="VZK6" s="2888" t="s">
        <v>3241</v>
      </c>
      <c r="VZL6" s="2888" t="s">
        <v>3241</v>
      </c>
      <c r="VZM6" s="2888" t="s">
        <v>3241</v>
      </c>
      <c r="VZN6" s="2888" t="s">
        <v>3241</v>
      </c>
      <c r="VZO6" s="2888" t="s">
        <v>3241</v>
      </c>
      <c r="VZP6" s="2888" t="s">
        <v>3241</v>
      </c>
      <c r="VZQ6" s="2888" t="s">
        <v>3241</v>
      </c>
      <c r="VZR6" s="2888" t="s">
        <v>3241</v>
      </c>
      <c r="VZS6" s="2888" t="s">
        <v>3241</v>
      </c>
      <c r="VZT6" s="2888" t="s">
        <v>3241</v>
      </c>
      <c r="VZU6" s="2888" t="s">
        <v>3241</v>
      </c>
      <c r="VZV6" s="2888" t="s">
        <v>3241</v>
      </c>
      <c r="VZW6" s="2888" t="s">
        <v>3241</v>
      </c>
      <c r="VZX6" s="2888" t="s">
        <v>3241</v>
      </c>
      <c r="VZY6" s="2888" t="s">
        <v>3241</v>
      </c>
      <c r="VZZ6" s="2888" t="s">
        <v>3241</v>
      </c>
      <c r="WAA6" s="2888" t="s">
        <v>3241</v>
      </c>
      <c r="WAB6" s="2888" t="s">
        <v>3241</v>
      </c>
      <c r="WAC6" s="2888" t="s">
        <v>3241</v>
      </c>
      <c r="WAD6" s="2888" t="s">
        <v>3241</v>
      </c>
      <c r="WAE6" s="2888" t="s">
        <v>3241</v>
      </c>
      <c r="WAF6" s="2888" t="s">
        <v>3241</v>
      </c>
      <c r="WAG6" s="2888" t="s">
        <v>3241</v>
      </c>
      <c r="WAH6" s="2888" t="s">
        <v>3241</v>
      </c>
      <c r="WAI6" s="2888" t="s">
        <v>3241</v>
      </c>
      <c r="WAJ6" s="2888" t="s">
        <v>3241</v>
      </c>
      <c r="WAK6" s="2888" t="s">
        <v>3241</v>
      </c>
      <c r="WAL6" s="2888" t="s">
        <v>3241</v>
      </c>
      <c r="WAM6" s="2888" t="s">
        <v>3241</v>
      </c>
      <c r="WAN6" s="2888" t="s">
        <v>3241</v>
      </c>
      <c r="WAO6" s="2888" t="s">
        <v>3241</v>
      </c>
      <c r="WAP6" s="2888" t="s">
        <v>3241</v>
      </c>
      <c r="WAQ6" s="2888" t="s">
        <v>3241</v>
      </c>
      <c r="WAR6" s="2888" t="s">
        <v>3241</v>
      </c>
      <c r="WAS6" s="2888" t="s">
        <v>3241</v>
      </c>
      <c r="WAT6" s="2888" t="s">
        <v>3241</v>
      </c>
      <c r="WAU6" s="2888" t="s">
        <v>3241</v>
      </c>
      <c r="WAV6" s="2888" t="s">
        <v>3241</v>
      </c>
      <c r="WAW6" s="2888" t="s">
        <v>3241</v>
      </c>
      <c r="WAX6" s="2888" t="s">
        <v>3241</v>
      </c>
      <c r="WAY6" s="2888" t="s">
        <v>3241</v>
      </c>
      <c r="WAZ6" s="2888" t="s">
        <v>3241</v>
      </c>
      <c r="WBA6" s="2888" t="s">
        <v>3241</v>
      </c>
      <c r="WBB6" s="2888" t="s">
        <v>3241</v>
      </c>
      <c r="WBC6" s="2888" t="s">
        <v>3241</v>
      </c>
      <c r="WBD6" s="2888" t="s">
        <v>3241</v>
      </c>
      <c r="WBE6" s="2888" t="s">
        <v>3241</v>
      </c>
      <c r="WBF6" s="2888" t="s">
        <v>3241</v>
      </c>
      <c r="WBG6" s="2888" t="s">
        <v>3241</v>
      </c>
      <c r="WBH6" s="2888" t="s">
        <v>3241</v>
      </c>
      <c r="WBI6" s="2888" t="s">
        <v>3241</v>
      </c>
      <c r="WBJ6" s="2888" t="s">
        <v>3241</v>
      </c>
      <c r="WBK6" s="2888" t="s">
        <v>3241</v>
      </c>
      <c r="WBL6" s="2888" t="s">
        <v>3241</v>
      </c>
      <c r="WBM6" s="2888" t="s">
        <v>3241</v>
      </c>
      <c r="WBN6" s="2888" t="s">
        <v>3241</v>
      </c>
      <c r="WBO6" s="2888" t="s">
        <v>3241</v>
      </c>
      <c r="WBP6" s="2888" t="s">
        <v>3241</v>
      </c>
      <c r="WBQ6" s="2888" t="s">
        <v>3241</v>
      </c>
      <c r="WBR6" s="2888" t="s">
        <v>3241</v>
      </c>
      <c r="WBS6" s="2888" t="s">
        <v>3241</v>
      </c>
      <c r="WBT6" s="2888" t="s">
        <v>3241</v>
      </c>
      <c r="WBU6" s="2888" t="s">
        <v>3241</v>
      </c>
      <c r="WBV6" s="2888" t="s">
        <v>3241</v>
      </c>
      <c r="WBW6" s="2888" t="s">
        <v>3241</v>
      </c>
      <c r="WBX6" s="2888" t="s">
        <v>3241</v>
      </c>
      <c r="WBY6" s="2888" t="s">
        <v>3241</v>
      </c>
      <c r="WBZ6" s="2888" t="s">
        <v>3241</v>
      </c>
      <c r="WCA6" s="2888" t="s">
        <v>3241</v>
      </c>
      <c r="WCB6" s="2888" t="s">
        <v>3241</v>
      </c>
      <c r="WCC6" s="2888" t="s">
        <v>3241</v>
      </c>
      <c r="WCD6" s="2888" t="s">
        <v>3241</v>
      </c>
      <c r="WCE6" s="2888" t="s">
        <v>3241</v>
      </c>
      <c r="WCF6" s="2888" t="s">
        <v>3241</v>
      </c>
      <c r="WCG6" s="2888" t="s">
        <v>3241</v>
      </c>
      <c r="WCH6" s="2888" t="s">
        <v>3241</v>
      </c>
      <c r="WCI6" s="2888" t="s">
        <v>3241</v>
      </c>
      <c r="WCJ6" s="2888" t="s">
        <v>3241</v>
      </c>
      <c r="WCK6" s="2888" t="s">
        <v>3241</v>
      </c>
      <c r="WCL6" s="2888" t="s">
        <v>3241</v>
      </c>
      <c r="WCM6" s="2888" t="s">
        <v>3241</v>
      </c>
      <c r="WCN6" s="2888" t="s">
        <v>3241</v>
      </c>
      <c r="WCO6" s="2888" t="s">
        <v>3241</v>
      </c>
      <c r="WCP6" s="2888" t="s">
        <v>3241</v>
      </c>
      <c r="WCQ6" s="2888" t="s">
        <v>3241</v>
      </c>
      <c r="WCR6" s="2888" t="s">
        <v>3241</v>
      </c>
      <c r="WCS6" s="2888" t="s">
        <v>3241</v>
      </c>
      <c r="WCT6" s="2888" t="s">
        <v>3241</v>
      </c>
      <c r="WCU6" s="2888" t="s">
        <v>3241</v>
      </c>
      <c r="WCV6" s="2888" t="s">
        <v>3241</v>
      </c>
      <c r="WCW6" s="2888" t="s">
        <v>3241</v>
      </c>
      <c r="WCX6" s="2888" t="s">
        <v>3241</v>
      </c>
      <c r="WCY6" s="2888" t="s">
        <v>3241</v>
      </c>
      <c r="WCZ6" s="2888" t="s">
        <v>3241</v>
      </c>
      <c r="WDA6" s="2888" t="s">
        <v>3241</v>
      </c>
      <c r="WDB6" s="2888" t="s">
        <v>3241</v>
      </c>
      <c r="WDC6" s="2888" t="s">
        <v>3241</v>
      </c>
      <c r="WDD6" s="2888" t="s">
        <v>3241</v>
      </c>
      <c r="WDE6" s="2888" t="s">
        <v>3241</v>
      </c>
      <c r="WDF6" s="2888" t="s">
        <v>3241</v>
      </c>
      <c r="WDG6" s="2888" t="s">
        <v>3241</v>
      </c>
      <c r="WDH6" s="2888" t="s">
        <v>3241</v>
      </c>
      <c r="WDI6" s="2888" t="s">
        <v>3241</v>
      </c>
      <c r="WDJ6" s="2888" t="s">
        <v>3241</v>
      </c>
      <c r="WDK6" s="2888" t="s">
        <v>3241</v>
      </c>
      <c r="WDL6" s="2888" t="s">
        <v>3241</v>
      </c>
      <c r="WDM6" s="2888" t="s">
        <v>3241</v>
      </c>
      <c r="WDN6" s="2888" t="s">
        <v>3241</v>
      </c>
      <c r="WDO6" s="2888" t="s">
        <v>3241</v>
      </c>
      <c r="WDP6" s="2888" t="s">
        <v>3241</v>
      </c>
      <c r="WDQ6" s="2888" t="s">
        <v>3241</v>
      </c>
      <c r="WDR6" s="2888" t="s">
        <v>3241</v>
      </c>
      <c r="WDS6" s="2888" t="s">
        <v>3241</v>
      </c>
      <c r="WDT6" s="2888" t="s">
        <v>3241</v>
      </c>
      <c r="WDU6" s="2888" t="s">
        <v>3241</v>
      </c>
      <c r="WDV6" s="2888" t="s">
        <v>3241</v>
      </c>
      <c r="WDW6" s="2888" t="s">
        <v>3241</v>
      </c>
      <c r="WDX6" s="2888" t="s">
        <v>3241</v>
      </c>
      <c r="WDY6" s="2888" t="s">
        <v>3241</v>
      </c>
      <c r="WDZ6" s="2888" t="s">
        <v>3241</v>
      </c>
      <c r="WEA6" s="2888" t="s">
        <v>3241</v>
      </c>
      <c r="WEB6" s="2888" t="s">
        <v>3241</v>
      </c>
      <c r="WEC6" s="2888" t="s">
        <v>3241</v>
      </c>
      <c r="WED6" s="2888" t="s">
        <v>3241</v>
      </c>
      <c r="WEE6" s="2888" t="s">
        <v>3241</v>
      </c>
      <c r="WEF6" s="2888" t="s">
        <v>3241</v>
      </c>
      <c r="WEG6" s="2888" t="s">
        <v>3241</v>
      </c>
      <c r="WEH6" s="2888" t="s">
        <v>3241</v>
      </c>
      <c r="WEI6" s="2888" t="s">
        <v>3241</v>
      </c>
      <c r="WEJ6" s="2888" t="s">
        <v>3241</v>
      </c>
      <c r="WEK6" s="2888" t="s">
        <v>3241</v>
      </c>
      <c r="WEL6" s="2888" t="s">
        <v>3241</v>
      </c>
      <c r="WEM6" s="2888" t="s">
        <v>3241</v>
      </c>
      <c r="WEN6" s="2888" t="s">
        <v>3241</v>
      </c>
      <c r="WEO6" s="2888" t="s">
        <v>3241</v>
      </c>
      <c r="WEP6" s="2888" t="s">
        <v>3241</v>
      </c>
      <c r="WEQ6" s="2888" t="s">
        <v>3241</v>
      </c>
      <c r="WER6" s="2888" t="s">
        <v>3241</v>
      </c>
      <c r="WES6" s="2888" t="s">
        <v>3241</v>
      </c>
      <c r="WET6" s="2888" t="s">
        <v>3241</v>
      </c>
      <c r="WEU6" s="2888" t="s">
        <v>3241</v>
      </c>
      <c r="WEV6" s="2888" t="s">
        <v>3241</v>
      </c>
      <c r="WEW6" s="2888" t="s">
        <v>3241</v>
      </c>
      <c r="WEX6" s="2888" t="s">
        <v>3241</v>
      </c>
      <c r="WEY6" s="2888" t="s">
        <v>3241</v>
      </c>
      <c r="WEZ6" s="2888" t="s">
        <v>3241</v>
      </c>
      <c r="WFA6" s="2888" t="s">
        <v>3241</v>
      </c>
      <c r="WFB6" s="2888" t="s">
        <v>3241</v>
      </c>
      <c r="WFC6" s="2888" t="s">
        <v>3241</v>
      </c>
      <c r="WFD6" s="2888" t="s">
        <v>3241</v>
      </c>
      <c r="WFE6" s="2888" t="s">
        <v>3241</v>
      </c>
      <c r="WFF6" s="2888" t="s">
        <v>3241</v>
      </c>
      <c r="WFG6" s="2888" t="s">
        <v>3241</v>
      </c>
      <c r="WFH6" s="2888" t="s">
        <v>3241</v>
      </c>
      <c r="WFI6" s="2888" t="s">
        <v>3241</v>
      </c>
      <c r="WFJ6" s="2888" t="s">
        <v>3241</v>
      </c>
      <c r="WFK6" s="2888" t="s">
        <v>3241</v>
      </c>
      <c r="WFL6" s="2888" t="s">
        <v>3241</v>
      </c>
      <c r="WFM6" s="2888" t="s">
        <v>3241</v>
      </c>
      <c r="WFN6" s="2888" t="s">
        <v>3241</v>
      </c>
      <c r="WFO6" s="2888" t="s">
        <v>3241</v>
      </c>
      <c r="WFP6" s="2888" t="s">
        <v>3241</v>
      </c>
      <c r="WFQ6" s="2888" t="s">
        <v>3241</v>
      </c>
      <c r="WFR6" s="2888" t="s">
        <v>3241</v>
      </c>
      <c r="WFS6" s="2888" t="s">
        <v>3241</v>
      </c>
      <c r="WFT6" s="2888" t="s">
        <v>3241</v>
      </c>
      <c r="WFU6" s="2888" t="s">
        <v>3241</v>
      </c>
      <c r="WFV6" s="2888" t="s">
        <v>3241</v>
      </c>
      <c r="WFW6" s="2888" t="s">
        <v>3241</v>
      </c>
      <c r="WFX6" s="2888" t="s">
        <v>3241</v>
      </c>
      <c r="WFY6" s="2888" t="s">
        <v>3241</v>
      </c>
      <c r="WFZ6" s="2888" t="s">
        <v>3241</v>
      </c>
      <c r="WGA6" s="2888" t="s">
        <v>3241</v>
      </c>
      <c r="WGB6" s="2888" t="s">
        <v>3241</v>
      </c>
      <c r="WGC6" s="2888" t="s">
        <v>3241</v>
      </c>
      <c r="WGD6" s="2888" t="s">
        <v>3241</v>
      </c>
      <c r="WGE6" s="2888" t="s">
        <v>3241</v>
      </c>
      <c r="WGF6" s="2888" t="s">
        <v>3241</v>
      </c>
      <c r="WGG6" s="2888" t="s">
        <v>3241</v>
      </c>
      <c r="WGH6" s="2888" t="s">
        <v>3241</v>
      </c>
      <c r="WGI6" s="2888" t="s">
        <v>3241</v>
      </c>
      <c r="WGJ6" s="2888" t="s">
        <v>3241</v>
      </c>
      <c r="WGK6" s="2888" t="s">
        <v>3241</v>
      </c>
      <c r="WGL6" s="2888" t="s">
        <v>3241</v>
      </c>
      <c r="WGM6" s="2888" t="s">
        <v>3241</v>
      </c>
      <c r="WGN6" s="2888" t="s">
        <v>3241</v>
      </c>
      <c r="WGO6" s="2888" t="s">
        <v>3241</v>
      </c>
      <c r="WGP6" s="2888" t="s">
        <v>3241</v>
      </c>
      <c r="WGQ6" s="2888" t="s">
        <v>3241</v>
      </c>
      <c r="WGR6" s="2888" t="s">
        <v>3241</v>
      </c>
      <c r="WGS6" s="2888" t="s">
        <v>3241</v>
      </c>
      <c r="WGT6" s="2888" t="s">
        <v>3241</v>
      </c>
      <c r="WGU6" s="2888" t="s">
        <v>3241</v>
      </c>
      <c r="WGV6" s="2888" t="s">
        <v>3241</v>
      </c>
      <c r="WGW6" s="2888" t="s">
        <v>3241</v>
      </c>
      <c r="WGX6" s="2888" t="s">
        <v>3241</v>
      </c>
      <c r="WGY6" s="2888" t="s">
        <v>3241</v>
      </c>
      <c r="WGZ6" s="2888" t="s">
        <v>3241</v>
      </c>
      <c r="WHA6" s="2888" t="s">
        <v>3241</v>
      </c>
      <c r="WHB6" s="2888" t="s">
        <v>3241</v>
      </c>
      <c r="WHC6" s="2888" t="s">
        <v>3241</v>
      </c>
      <c r="WHD6" s="2888" t="s">
        <v>3241</v>
      </c>
      <c r="WHE6" s="2888" t="s">
        <v>3241</v>
      </c>
      <c r="WHF6" s="2888" t="s">
        <v>3241</v>
      </c>
      <c r="WHG6" s="2888" t="s">
        <v>3241</v>
      </c>
      <c r="WHH6" s="2888" t="s">
        <v>3241</v>
      </c>
      <c r="WHI6" s="2888" t="s">
        <v>3241</v>
      </c>
      <c r="WHJ6" s="2888" t="s">
        <v>3241</v>
      </c>
      <c r="WHK6" s="2888" t="s">
        <v>3241</v>
      </c>
      <c r="WHL6" s="2888" t="s">
        <v>3241</v>
      </c>
      <c r="WHM6" s="2888" t="s">
        <v>3241</v>
      </c>
      <c r="WHN6" s="2888" t="s">
        <v>3241</v>
      </c>
      <c r="WHO6" s="2888" t="s">
        <v>3241</v>
      </c>
      <c r="WHP6" s="2888" t="s">
        <v>3241</v>
      </c>
      <c r="WHQ6" s="2888" t="s">
        <v>3241</v>
      </c>
      <c r="WHR6" s="2888" t="s">
        <v>3241</v>
      </c>
      <c r="WHS6" s="2888" t="s">
        <v>3241</v>
      </c>
      <c r="WHT6" s="2888" t="s">
        <v>3241</v>
      </c>
      <c r="WHU6" s="2888" t="s">
        <v>3241</v>
      </c>
      <c r="WHV6" s="2888" t="s">
        <v>3241</v>
      </c>
      <c r="WHW6" s="2888" t="s">
        <v>3241</v>
      </c>
      <c r="WHX6" s="2888" t="s">
        <v>3241</v>
      </c>
      <c r="WHY6" s="2888" t="s">
        <v>3241</v>
      </c>
      <c r="WHZ6" s="2888" t="s">
        <v>3241</v>
      </c>
      <c r="WIA6" s="2888" t="s">
        <v>3241</v>
      </c>
      <c r="WIB6" s="2888" t="s">
        <v>3241</v>
      </c>
      <c r="WIC6" s="2888" t="s">
        <v>3241</v>
      </c>
      <c r="WID6" s="2888" t="s">
        <v>3241</v>
      </c>
      <c r="WIE6" s="2888" t="s">
        <v>3241</v>
      </c>
      <c r="WIF6" s="2888" t="s">
        <v>3241</v>
      </c>
      <c r="WIG6" s="2888" t="s">
        <v>3241</v>
      </c>
      <c r="WIH6" s="2888" t="s">
        <v>3241</v>
      </c>
      <c r="WII6" s="2888" t="s">
        <v>3241</v>
      </c>
      <c r="WIJ6" s="2888" t="s">
        <v>3241</v>
      </c>
      <c r="WIK6" s="2888" t="s">
        <v>3241</v>
      </c>
      <c r="WIL6" s="2888" t="s">
        <v>3241</v>
      </c>
      <c r="WIM6" s="2888" t="s">
        <v>3241</v>
      </c>
      <c r="WIN6" s="2888" t="s">
        <v>3241</v>
      </c>
      <c r="WIO6" s="2888" t="s">
        <v>3241</v>
      </c>
      <c r="WIP6" s="2888" t="s">
        <v>3241</v>
      </c>
      <c r="WIQ6" s="2888" t="s">
        <v>3241</v>
      </c>
      <c r="WIR6" s="2888" t="s">
        <v>3241</v>
      </c>
      <c r="WIS6" s="2888" t="s">
        <v>3241</v>
      </c>
      <c r="WIT6" s="2888" t="s">
        <v>3241</v>
      </c>
      <c r="WIU6" s="2888" t="s">
        <v>3241</v>
      </c>
      <c r="WIV6" s="2888" t="s">
        <v>3241</v>
      </c>
      <c r="WIW6" s="2888" t="s">
        <v>3241</v>
      </c>
      <c r="WIX6" s="2888" t="s">
        <v>3241</v>
      </c>
      <c r="WIY6" s="2888" t="s">
        <v>3241</v>
      </c>
      <c r="WIZ6" s="2888" t="s">
        <v>3241</v>
      </c>
      <c r="WJA6" s="2888" t="s">
        <v>3241</v>
      </c>
      <c r="WJB6" s="2888" t="s">
        <v>3241</v>
      </c>
      <c r="WJC6" s="2888" t="s">
        <v>3241</v>
      </c>
      <c r="WJD6" s="2888" t="s">
        <v>3241</v>
      </c>
      <c r="WJE6" s="2888" t="s">
        <v>3241</v>
      </c>
      <c r="WJF6" s="2888" t="s">
        <v>3241</v>
      </c>
      <c r="WJG6" s="2888" t="s">
        <v>3241</v>
      </c>
      <c r="WJH6" s="2888" t="s">
        <v>3241</v>
      </c>
      <c r="WJI6" s="2888" t="s">
        <v>3241</v>
      </c>
      <c r="WJJ6" s="2888" t="s">
        <v>3241</v>
      </c>
      <c r="WJK6" s="2888" t="s">
        <v>3241</v>
      </c>
      <c r="WJL6" s="2888" t="s">
        <v>3241</v>
      </c>
      <c r="WJM6" s="2888" t="s">
        <v>3241</v>
      </c>
      <c r="WJN6" s="2888" t="s">
        <v>3241</v>
      </c>
      <c r="WJO6" s="2888" t="s">
        <v>3241</v>
      </c>
      <c r="WJP6" s="2888" t="s">
        <v>3241</v>
      </c>
      <c r="WJQ6" s="2888" t="s">
        <v>3241</v>
      </c>
      <c r="WJR6" s="2888" t="s">
        <v>3241</v>
      </c>
      <c r="WJS6" s="2888" t="s">
        <v>3241</v>
      </c>
      <c r="WJT6" s="2888" t="s">
        <v>3241</v>
      </c>
      <c r="WJU6" s="2888" t="s">
        <v>3241</v>
      </c>
      <c r="WJV6" s="2888" t="s">
        <v>3241</v>
      </c>
      <c r="WJW6" s="2888" t="s">
        <v>3241</v>
      </c>
      <c r="WJX6" s="2888" t="s">
        <v>3241</v>
      </c>
      <c r="WJY6" s="2888" t="s">
        <v>3241</v>
      </c>
      <c r="WJZ6" s="2888" t="s">
        <v>3241</v>
      </c>
      <c r="WKA6" s="2888" t="s">
        <v>3241</v>
      </c>
      <c r="WKB6" s="2888" t="s">
        <v>3241</v>
      </c>
      <c r="WKC6" s="2888" t="s">
        <v>3241</v>
      </c>
      <c r="WKD6" s="2888" t="s">
        <v>3241</v>
      </c>
      <c r="WKE6" s="2888" t="s">
        <v>3241</v>
      </c>
      <c r="WKF6" s="2888" t="s">
        <v>3241</v>
      </c>
      <c r="WKG6" s="2888" t="s">
        <v>3241</v>
      </c>
      <c r="WKH6" s="2888" t="s">
        <v>3241</v>
      </c>
      <c r="WKI6" s="2888" t="s">
        <v>3241</v>
      </c>
      <c r="WKJ6" s="2888" t="s">
        <v>3241</v>
      </c>
      <c r="WKK6" s="2888" t="s">
        <v>3241</v>
      </c>
      <c r="WKL6" s="2888" t="s">
        <v>3241</v>
      </c>
      <c r="WKM6" s="2888" t="s">
        <v>3241</v>
      </c>
      <c r="WKN6" s="2888" t="s">
        <v>3241</v>
      </c>
      <c r="WKO6" s="2888" t="s">
        <v>3241</v>
      </c>
      <c r="WKP6" s="2888" t="s">
        <v>3241</v>
      </c>
      <c r="WKQ6" s="2888" t="s">
        <v>3241</v>
      </c>
      <c r="WKR6" s="2888" t="s">
        <v>3241</v>
      </c>
      <c r="WKS6" s="2888" t="s">
        <v>3241</v>
      </c>
      <c r="WKT6" s="2888" t="s">
        <v>3241</v>
      </c>
      <c r="WKU6" s="2888" t="s">
        <v>3241</v>
      </c>
      <c r="WKV6" s="2888" t="s">
        <v>3241</v>
      </c>
      <c r="WKW6" s="2888" t="s">
        <v>3241</v>
      </c>
      <c r="WKX6" s="2888" t="s">
        <v>3241</v>
      </c>
      <c r="WKY6" s="2888" t="s">
        <v>3241</v>
      </c>
      <c r="WKZ6" s="2888" t="s">
        <v>3241</v>
      </c>
      <c r="WLA6" s="2888" t="s">
        <v>3241</v>
      </c>
      <c r="WLB6" s="2888" t="s">
        <v>3241</v>
      </c>
      <c r="WLC6" s="2888" t="s">
        <v>3241</v>
      </c>
      <c r="WLD6" s="2888" t="s">
        <v>3241</v>
      </c>
      <c r="WLE6" s="2888" t="s">
        <v>3241</v>
      </c>
      <c r="WLF6" s="2888" t="s">
        <v>3241</v>
      </c>
      <c r="WLG6" s="2888" t="s">
        <v>3241</v>
      </c>
      <c r="WLH6" s="2888" t="s">
        <v>3241</v>
      </c>
      <c r="WLI6" s="2888" t="s">
        <v>3241</v>
      </c>
      <c r="WLJ6" s="2888" t="s">
        <v>3241</v>
      </c>
      <c r="WLK6" s="2888" t="s">
        <v>3241</v>
      </c>
      <c r="WLL6" s="2888" t="s">
        <v>3241</v>
      </c>
      <c r="WLM6" s="2888" t="s">
        <v>3241</v>
      </c>
      <c r="WLN6" s="2888" t="s">
        <v>3241</v>
      </c>
      <c r="WLO6" s="2888" t="s">
        <v>3241</v>
      </c>
      <c r="WLP6" s="2888" t="s">
        <v>3241</v>
      </c>
      <c r="WLQ6" s="2888" t="s">
        <v>3241</v>
      </c>
      <c r="WLR6" s="2888" t="s">
        <v>3241</v>
      </c>
      <c r="WLS6" s="2888" t="s">
        <v>3241</v>
      </c>
      <c r="WLT6" s="2888" t="s">
        <v>3241</v>
      </c>
      <c r="WLU6" s="2888" t="s">
        <v>3241</v>
      </c>
      <c r="WLV6" s="2888" t="s">
        <v>3241</v>
      </c>
      <c r="WLW6" s="2888" t="s">
        <v>3241</v>
      </c>
      <c r="WLX6" s="2888" t="s">
        <v>3241</v>
      </c>
      <c r="WLY6" s="2888" t="s">
        <v>3241</v>
      </c>
      <c r="WLZ6" s="2888" t="s">
        <v>3241</v>
      </c>
      <c r="WMA6" s="2888" t="s">
        <v>3241</v>
      </c>
      <c r="WMB6" s="2888" t="s">
        <v>3241</v>
      </c>
      <c r="WMC6" s="2888" t="s">
        <v>3241</v>
      </c>
      <c r="WMD6" s="2888" t="s">
        <v>3241</v>
      </c>
      <c r="WME6" s="2888" t="s">
        <v>3241</v>
      </c>
      <c r="WMF6" s="2888" t="s">
        <v>3241</v>
      </c>
      <c r="WMG6" s="2888" t="s">
        <v>3241</v>
      </c>
      <c r="WMH6" s="2888" t="s">
        <v>3241</v>
      </c>
      <c r="WMI6" s="2888" t="s">
        <v>3241</v>
      </c>
      <c r="WMJ6" s="2888" t="s">
        <v>3241</v>
      </c>
      <c r="WMK6" s="2888" t="s">
        <v>3241</v>
      </c>
      <c r="WML6" s="2888" t="s">
        <v>3241</v>
      </c>
      <c r="WMM6" s="2888" t="s">
        <v>3241</v>
      </c>
      <c r="WMN6" s="2888" t="s">
        <v>3241</v>
      </c>
      <c r="WMO6" s="2888" t="s">
        <v>3241</v>
      </c>
      <c r="WMP6" s="2888" t="s">
        <v>3241</v>
      </c>
      <c r="WMQ6" s="2888" t="s">
        <v>3241</v>
      </c>
      <c r="WMR6" s="2888" t="s">
        <v>3241</v>
      </c>
      <c r="WMS6" s="2888" t="s">
        <v>3241</v>
      </c>
      <c r="WMT6" s="2888" t="s">
        <v>3241</v>
      </c>
      <c r="WMU6" s="2888" t="s">
        <v>3241</v>
      </c>
      <c r="WMV6" s="2888" t="s">
        <v>3241</v>
      </c>
      <c r="WMW6" s="2888" t="s">
        <v>3241</v>
      </c>
      <c r="WMX6" s="2888" t="s">
        <v>3241</v>
      </c>
      <c r="WMY6" s="2888" t="s">
        <v>3241</v>
      </c>
      <c r="WMZ6" s="2888" t="s">
        <v>3241</v>
      </c>
      <c r="WNA6" s="2888" t="s">
        <v>3241</v>
      </c>
      <c r="WNB6" s="2888" t="s">
        <v>3241</v>
      </c>
      <c r="WNC6" s="2888" t="s">
        <v>3241</v>
      </c>
      <c r="WND6" s="2888" t="s">
        <v>3241</v>
      </c>
      <c r="WNE6" s="2888" t="s">
        <v>3241</v>
      </c>
      <c r="WNF6" s="2888" t="s">
        <v>3241</v>
      </c>
      <c r="WNG6" s="2888" t="s">
        <v>3241</v>
      </c>
      <c r="WNH6" s="2888" t="s">
        <v>3241</v>
      </c>
      <c r="WNI6" s="2888" t="s">
        <v>3241</v>
      </c>
      <c r="WNJ6" s="2888" t="s">
        <v>3241</v>
      </c>
      <c r="WNK6" s="2888" t="s">
        <v>3241</v>
      </c>
      <c r="WNL6" s="2888" t="s">
        <v>3241</v>
      </c>
      <c r="WNM6" s="2888" t="s">
        <v>3241</v>
      </c>
      <c r="WNN6" s="2888" t="s">
        <v>3241</v>
      </c>
      <c r="WNO6" s="2888" t="s">
        <v>3241</v>
      </c>
      <c r="WNP6" s="2888" t="s">
        <v>3241</v>
      </c>
      <c r="WNQ6" s="2888" t="s">
        <v>3241</v>
      </c>
      <c r="WNR6" s="2888" t="s">
        <v>3241</v>
      </c>
      <c r="WNS6" s="2888" t="s">
        <v>3241</v>
      </c>
      <c r="WNT6" s="2888" t="s">
        <v>3241</v>
      </c>
      <c r="WNU6" s="2888" t="s">
        <v>3241</v>
      </c>
      <c r="WNV6" s="2888" t="s">
        <v>3241</v>
      </c>
      <c r="WNW6" s="2888" t="s">
        <v>3241</v>
      </c>
      <c r="WNX6" s="2888" t="s">
        <v>3241</v>
      </c>
      <c r="WNY6" s="2888" t="s">
        <v>3241</v>
      </c>
      <c r="WNZ6" s="2888" t="s">
        <v>3241</v>
      </c>
      <c r="WOA6" s="2888" t="s">
        <v>3241</v>
      </c>
      <c r="WOB6" s="2888" t="s">
        <v>3241</v>
      </c>
      <c r="WOC6" s="2888" t="s">
        <v>3241</v>
      </c>
      <c r="WOD6" s="2888" t="s">
        <v>3241</v>
      </c>
      <c r="WOE6" s="2888" t="s">
        <v>3241</v>
      </c>
      <c r="WOF6" s="2888" t="s">
        <v>3241</v>
      </c>
      <c r="WOG6" s="2888" t="s">
        <v>3241</v>
      </c>
      <c r="WOH6" s="2888" t="s">
        <v>3241</v>
      </c>
      <c r="WOI6" s="2888" t="s">
        <v>3241</v>
      </c>
      <c r="WOJ6" s="2888" t="s">
        <v>3241</v>
      </c>
      <c r="WOK6" s="2888" t="s">
        <v>3241</v>
      </c>
      <c r="WOL6" s="2888" t="s">
        <v>3241</v>
      </c>
      <c r="WOM6" s="2888" t="s">
        <v>3241</v>
      </c>
      <c r="WON6" s="2888" t="s">
        <v>3241</v>
      </c>
      <c r="WOO6" s="2888" t="s">
        <v>3241</v>
      </c>
      <c r="WOP6" s="2888" t="s">
        <v>3241</v>
      </c>
      <c r="WOQ6" s="2888" t="s">
        <v>3241</v>
      </c>
      <c r="WOR6" s="2888" t="s">
        <v>3241</v>
      </c>
      <c r="WOS6" s="2888" t="s">
        <v>3241</v>
      </c>
      <c r="WOT6" s="2888" t="s">
        <v>3241</v>
      </c>
      <c r="WOU6" s="2888" t="s">
        <v>3241</v>
      </c>
      <c r="WOV6" s="2888" t="s">
        <v>3241</v>
      </c>
      <c r="WOW6" s="2888" t="s">
        <v>3241</v>
      </c>
      <c r="WOX6" s="2888" t="s">
        <v>3241</v>
      </c>
      <c r="WOY6" s="2888" t="s">
        <v>3241</v>
      </c>
      <c r="WOZ6" s="2888" t="s">
        <v>3241</v>
      </c>
      <c r="WPA6" s="2888" t="s">
        <v>3241</v>
      </c>
      <c r="WPB6" s="2888" t="s">
        <v>3241</v>
      </c>
      <c r="WPC6" s="2888" t="s">
        <v>3241</v>
      </c>
      <c r="WPD6" s="2888" t="s">
        <v>3241</v>
      </c>
      <c r="WPE6" s="2888" t="s">
        <v>3241</v>
      </c>
      <c r="WPF6" s="2888" t="s">
        <v>3241</v>
      </c>
      <c r="WPG6" s="2888" t="s">
        <v>3241</v>
      </c>
      <c r="WPH6" s="2888" t="s">
        <v>3241</v>
      </c>
      <c r="WPI6" s="2888" t="s">
        <v>3241</v>
      </c>
      <c r="WPJ6" s="2888" t="s">
        <v>3241</v>
      </c>
      <c r="WPK6" s="2888" t="s">
        <v>3241</v>
      </c>
      <c r="WPL6" s="2888" t="s">
        <v>3241</v>
      </c>
      <c r="WPM6" s="2888" t="s">
        <v>3241</v>
      </c>
      <c r="WPN6" s="2888" t="s">
        <v>3241</v>
      </c>
      <c r="WPO6" s="2888" t="s">
        <v>3241</v>
      </c>
      <c r="WPP6" s="2888" t="s">
        <v>3241</v>
      </c>
      <c r="WPQ6" s="2888" t="s">
        <v>3241</v>
      </c>
      <c r="WPR6" s="2888" t="s">
        <v>3241</v>
      </c>
      <c r="WPS6" s="2888" t="s">
        <v>3241</v>
      </c>
      <c r="WPT6" s="2888" t="s">
        <v>3241</v>
      </c>
      <c r="WPU6" s="2888" t="s">
        <v>3241</v>
      </c>
      <c r="WPV6" s="2888" t="s">
        <v>3241</v>
      </c>
      <c r="WPW6" s="2888" t="s">
        <v>3241</v>
      </c>
      <c r="WPX6" s="2888" t="s">
        <v>3241</v>
      </c>
      <c r="WPY6" s="2888" t="s">
        <v>3241</v>
      </c>
      <c r="WPZ6" s="2888" t="s">
        <v>3241</v>
      </c>
      <c r="WQA6" s="2888" t="s">
        <v>3241</v>
      </c>
      <c r="WQB6" s="2888" t="s">
        <v>3241</v>
      </c>
      <c r="WQC6" s="2888" t="s">
        <v>3241</v>
      </c>
      <c r="WQD6" s="2888" t="s">
        <v>3241</v>
      </c>
      <c r="WQE6" s="2888" t="s">
        <v>3241</v>
      </c>
      <c r="WQF6" s="2888" t="s">
        <v>3241</v>
      </c>
      <c r="WQG6" s="2888" t="s">
        <v>3241</v>
      </c>
      <c r="WQH6" s="2888" t="s">
        <v>3241</v>
      </c>
      <c r="WQI6" s="2888" t="s">
        <v>3241</v>
      </c>
      <c r="WQJ6" s="2888" t="s">
        <v>3241</v>
      </c>
      <c r="WQK6" s="2888" t="s">
        <v>3241</v>
      </c>
      <c r="WQL6" s="2888" t="s">
        <v>3241</v>
      </c>
      <c r="WQM6" s="2888" t="s">
        <v>3241</v>
      </c>
      <c r="WQN6" s="2888" t="s">
        <v>3241</v>
      </c>
      <c r="WQO6" s="2888" t="s">
        <v>3241</v>
      </c>
      <c r="WQP6" s="2888" t="s">
        <v>3241</v>
      </c>
      <c r="WQQ6" s="2888" t="s">
        <v>3241</v>
      </c>
      <c r="WQR6" s="2888" t="s">
        <v>3241</v>
      </c>
      <c r="WQS6" s="2888" t="s">
        <v>3241</v>
      </c>
      <c r="WQT6" s="2888" t="s">
        <v>3241</v>
      </c>
      <c r="WQU6" s="2888" t="s">
        <v>3241</v>
      </c>
      <c r="WQV6" s="2888" t="s">
        <v>3241</v>
      </c>
      <c r="WQW6" s="2888" t="s">
        <v>3241</v>
      </c>
      <c r="WQX6" s="2888" t="s">
        <v>3241</v>
      </c>
      <c r="WQY6" s="2888" t="s">
        <v>3241</v>
      </c>
      <c r="WQZ6" s="2888" t="s">
        <v>3241</v>
      </c>
      <c r="WRA6" s="2888" t="s">
        <v>3241</v>
      </c>
      <c r="WRB6" s="2888" t="s">
        <v>3241</v>
      </c>
      <c r="WRC6" s="2888" t="s">
        <v>3241</v>
      </c>
      <c r="WRD6" s="2888" t="s">
        <v>3241</v>
      </c>
      <c r="WRE6" s="2888" t="s">
        <v>3241</v>
      </c>
      <c r="WRF6" s="2888" t="s">
        <v>3241</v>
      </c>
      <c r="WRG6" s="2888" t="s">
        <v>3241</v>
      </c>
      <c r="WRH6" s="2888" t="s">
        <v>3241</v>
      </c>
      <c r="WRI6" s="2888" t="s">
        <v>3241</v>
      </c>
      <c r="WRJ6" s="2888" t="s">
        <v>3241</v>
      </c>
      <c r="WRK6" s="2888" t="s">
        <v>3241</v>
      </c>
      <c r="WRL6" s="2888" t="s">
        <v>3241</v>
      </c>
      <c r="WRM6" s="2888" t="s">
        <v>3241</v>
      </c>
      <c r="WRN6" s="2888" t="s">
        <v>3241</v>
      </c>
      <c r="WRO6" s="2888" t="s">
        <v>3241</v>
      </c>
      <c r="WRP6" s="2888" t="s">
        <v>3241</v>
      </c>
      <c r="WRQ6" s="2888" t="s">
        <v>3241</v>
      </c>
      <c r="WRR6" s="2888" t="s">
        <v>3241</v>
      </c>
      <c r="WRS6" s="2888" t="s">
        <v>3241</v>
      </c>
      <c r="WRT6" s="2888" t="s">
        <v>3241</v>
      </c>
      <c r="WRU6" s="2888" t="s">
        <v>3241</v>
      </c>
      <c r="WRV6" s="2888" t="s">
        <v>3241</v>
      </c>
      <c r="WRW6" s="2888" t="s">
        <v>3241</v>
      </c>
      <c r="WRX6" s="2888" t="s">
        <v>3241</v>
      </c>
      <c r="WRY6" s="2888" t="s">
        <v>3241</v>
      </c>
      <c r="WRZ6" s="2888" t="s">
        <v>3241</v>
      </c>
      <c r="WSA6" s="2888" t="s">
        <v>3241</v>
      </c>
      <c r="WSB6" s="2888" t="s">
        <v>3241</v>
      </c>
      <c r="WSC6" s="2888" t="s">
        <v>3241</v>
      </c>
      <c r="WSD6" s="2888" t="s">
        <v>3241</v>
      </c>
      <c r="WSE6" s="2888" t="s">
        <v>3241</v>
      </c>
      <c r="WSF6" s="2888" t="s">
        <v>3241</v>
      </c>
      <c r="WSG6" s="2888" t="s">
        <v>3241</v>
      </c>
      <c r="WSH6" s="2888" t="s">
        <v>3241</v>
      </c>
      <c r="WSI6" s="2888" t="s">
        <v>3241</v>
      </c>
      <c r="WSJ6" s="2888" t="s">
        <v>3241</v>
      </c>
      <c r="WSK6" s="2888" t="s">
        <v>3241</v>
      </c>
      <c r="WSL6" s="2888" t="s">
        <v>3241</v>
      </c>
      <c r="WSM6" s="2888" t="s">
        <v>3241</v>
      </c>
      <c r="WSN6" s="2888" t="s">
        <v>3241</v>
      </c>
      <c r="WSO6" s="2888" t="s">
        <v>3241</v>
      </c>
      <c r="WSP6" s="2888" t="s">
        <v>3241</v>
      </c>
      <c r="WSQ6" s="2888" t="s">
        <v>3241</v>
      </c>
      <c r="WSR6" s="2888" t="s">
        <v>3241</v>
      </c>
      <c r="WSS6" s="2888" t="s">
        <v>3241</v>
      </c>
      <c r="WST6" s="2888" t="s">
        <v>3241</v>
      </c>
      <c r="WSU6" s="2888" t="s">
        <v>3241</v>
      </c>
      <c r="WSV6" s="2888" t="s">
        <v>3241</v>
      </c>
      <c r="WSW6" s="2888" t="s">
        <v>3241</v>
      </c>
      <c r="WSX6" s="2888" t="s">
        <v>3241</v>
      </c>
      <c r="WSY6" s="2888" t="s">
        <v>3241</v>
      </c>
      <c r="WSZ6" s="2888" t="s">
        <v>3241</v>
      </c>
      <c r="WTA6" s="2888" t="s">
        <v>3241</v>
      </c>
      <c r="WTB6" s="2888" t="s">
        <v>3241</v>
      </c>
      <c r="WTC6" s="2888" t="s">
        <v>3241</v>
      </c>
      <c r="WTD6" s="2888" t="s">
        <v>3241</v>
      </c>
      <c r="WTE6" s="2888" t="s">
        <v>3241</v>
      </c>
      <c r="WTF6" s="2888" t="s">
        <v>3241</v>
      </c>
      <c r="WTG6" s="2888" t="s">
        <v>3241</v>
      </c>
      <c r="WTH6" s="2888" t="s">
        <v>3241</v>
      </c>
      <c r="WTI6" s="2888" t="s">
        <v>3241</v>
      </c>
      <c r="WTJ6" s="2888" t="s">
        <v>3241</v>
      </c>
      <c r="WTK6" s="2888" t="s">
        <v>3241</v>
      </c>
      <c r="WTL6" s="2888" t="s">
        <v>3241</v>
      </c>
      <c r="WTM6" s="2888" t="s">
        <v>3241</v>
      </c>
      <c r="WTN6" s="2888" t="s">
        <v>3241</v>
      </c>
      <c r="WTO6" s="2888" t="s">
        <v>3241</v>
      </c>
      <c r="WTP6" s="2888" t="s">
        <v>3241</v>
      </c>
      <c r="WTQ6" s="2888" t="s">
        <v>3241</v>
      </c>
      <c r="WTR6" s="2888" t="s">
        <v>3241</v>
      </c>
      <c r="WTS6" s="2888" t="s">
        <v>3241</v>
      </c>
      <c r="WTT6" s="2888" t="s">
        <v>3241</v>
      </c>
      <c r="WTU6" s="2888" t="s">
        <v>3241</v>
      </c>
      <c r="WTV6" s="2888" t="s">
        <v>3241</v>
      </c>
      <c r="WTW6" s="2888" t="s">
        <v>3241</v>
      </c>
      <c r="WTX6" s="2888" t="s">
        <v>3241</v>
      </c>
      <c r="WTY6" s="2888" t="s">
        <v>3241</v>
      </c>
      <c r="WTZ6" s="2888" t="s">
        <v>3241</v>
      </c>
      <c r="WUA6" s="2888" t="s">
        <v>3241</v>
      </c>
      <c r="WUB6" s="2888" t="s">
        <v>3241</v>
      </c>
      <c r="WUC6" s="2888" t="s">
        <v>3241</v>
      </c>
      <c r="WUD6" s="2888" t="s">
        <v>3241</v>
      </c>
      <c r="WUE6" s="2888" t="s">
        <v>3241</v>
      </c>
      <c r="WUF6" s="2888" t="s">
        <v>3241</v>
      </c>
      <c r="WUG6" s="2888" t="s">
        <v>3241</v>
      </c>
      <c r="WUH6" s="2888" t="s">
        <v>3241</v>
      </c>
      <c r="WUI6" s="2888" t="s">
        <v>3241</v>
      </c>
      <c r="WUJ6" s="2888" t="s">
        <v>3241</v>
      </c>
      <c r="WUK6" s="2888" t="s">
        <v>3241</v>
      </c>
      <c r="WUL6" s="2888" t="s">
        <v>3241</v>
      </c>
      <c r="WUM6" s="2888" t="s">
        <v>3241</v>
      </c>
      <c r="WUN6" s="2888" t="s">
        <v>3241</v>
      </c>
      <c r="WUO6" s="2888" t="s">
        <v>3241</v>
      </c>
      <c r="WUP6" s="2888" t="s">
        <v>3241</v>
      </c>
      <c r="WUQ6" s="2888" t="s">
        <v>3241</v>
      </c>
      <c r="WUR6" s="2888" t="s">
        <v>3241</v>
      </c>
      <c r="WUS6" s="2888" t="s">
        <v>3241</v>
      </c>
      <c r="WUT6" s="2888" t="s">
        <v>3241</v>
      </c>
      <c r="WUU6" s="2888" t="s">
        <v>3241</v>
      </c>
      <c r="WUV6" s="2888" t="s">
        <v>3241</v>
      </c>
      <c r="WUW6" s="2888" t="s">
        <v>3241</v>
      </c>
      <c r="WUX6" s="2888" t="s">
        <v>3241</v>
      </c>
      <c r="WUY6" s="2888" t="s">
        <v>3241</v>
      </c>
      <c r="WUZ6" s="2888" t="s">
        <v>3241</v>
      </c>
      <c r="WVA6" s="2888" t="s">
        <v>3241</v>
      </c>
      <c r="WVB6" s="2888" t="s">
        <v>3241</v>
      </c>
      <c r="WVC6" s="2888" t="s">
        <v>3241</v>
      </c>
      <c r="WVD6" s="2888" t="s">
        <v>3241</v>
      </c>
      <c r="WVE6" s="2888" t="s">
        <v>3241</v>
      </c>
      <c r="WVF6" s="2888" t="s">
        <v>3241</v>
      </c>
      <c r="WVG6" s="2888" t="s">
        <v>3241</v>
      </c>
      <c r="WVH6" s="2888" t="s">
        <v>3241</v>
      </c>
      <c r="WVI6" s="2888" t="s">
        <v>3241</v>
      </c>
      <c r="WVJ6" s="2888" t="s">
        <v>3241</v>
      </c>
      <c r="WVK6" s="2888" t="s">
        <v>3241</v>
      </c>
      <c r="WVL6" s="2888" t="s">
        <v>3241</v>
      </c>
      <c r="WVM6" s="2888" t="s">
        <v>3241</v>
      </c>
      <c r="WVN6" s="2888" t="s">
        <v>3241</v>
      </c>
      <c r="WVO6" s="2888" t="s">
        <v>3241</v>
      </c>
      <c r="WVP6" s="2888" t="s">
        <v>3241</v>
      </c>
      <c r="WVQ6" s="2888" t="s">
        <v>3241</v>
      </c>
      <c r="WVR6" s="2888" t="s">
        <v>3241</v>
      </c>
      <c r="WVS6" s="2888" t="s">
        <v>3241</v>
      </c>
      <c r="WVT6" s="2888" t="s">
        <v>3241</v>
      </c>
      <c r="WVU6" s="2888" t="s">
        <v>3241</v>
      </c>
      <c r="WVV6" s="2888" t="s">
        <v>3241</v>
      </c>
      <c r="WVW6" s="2888" t="s">
        <v>3241</v>
      </c>
      <c r="WVX6" s="2888" t="s">
        <v>3241</v>
      </c>
      <c r="WVY6" s="2888" t="s">
        <v>3241</v>
      </c>
      <c r="WVZ6" s="2888" t="s">
        <v>3241</v>
      </c>
      <c r="WWA6" s="2888" t="s">
        <v>3241</v>
      </c>
      <c r="WWB6" s="2888" t="s">
        <v>3241</v>
      </c>
      <c r="WWC6" s="2888" t="s">
        <v>3241</v>
      </c>
      <c r="WWD6" s="2888" t="s">
        <v>3241</v>
      </c>
      <c r="WWE6" s="2888" t="s">
        <v>3241</v>
      </c>
      <c r="WWF6" s="2888" t="s">
        <v>3241</v>
      </c>
      <c r="WWG6" s="2888" t="s">
        <v>3241</v>
      </c>
      <c r="WWH6" s="2888" t="s">
        <v>3241</v>
      </c>
      <c r="WWI6" s="2888" t="s">
        <v>3241</v>
      </c>
      <c r="WWJ6" s="2888" t="s">
        <v>3241</v>
      </c>
      <c r="WWK6" s="2888" t="s">
        <v>3241</v>
      </c>
      <c r="WWL6" s="2888" t="s">
        <v>3241</v>
      </c>
      <c r="WWM6" s="2888" t="s">
        <v>3241</v>
      </c>
      <c r="WWN6" s="2888" t="s">
        <v>3241</v>
      </c>
      <c r="WWO6" s="2888" t="s">
        <v>3241</v>
      </c>
      <c r="WWP6" s="2888" t="s">
        <v>3241</v>
      </c>
      <c r="WWQ6" s="2888" t="s">
        <v>3241</v>
      </c>
      <c r="WWR6" s="2888" t="s">
        <v>3241</v>
      </c>
      <c r="WWS6" s="2888" t="s">
        <v>3241</v>
      </c>
      <c r="WWT6" s="2888" t="s">
        <v>3241</v>
      </c>
      <c r="WWU6" s="2888" t="s">
        <v>3241</v>
      </c>
      <c r="WWV6" s="2888" t="s">
        <v>3241</v>
      </c>
      <c r="WWW6" s="2888" t="s">
        <v>3241</v>
      </c>
      <c r="WWX6" s="2888" t="s">
        <v>3241</v>
      </c>
      <c r="WWY6" s="2888" t="s">
        <v>3241</v>
      </c>
      <c r="WWZ6" s="2888" t="s">
        <v>3241</v>
      </c>
      <c r="WXA6" s="2888" t="s">
        <v>3241</v>
      </c>
      <c r="WXB6" s="2888" t="s">
        <v>3241</v>
      </c>
      <c r="WXC6" s="2888" t="s">
        <v>3241</v>
      </c>
      <c r="WXD6" s="2888" t="s">
        <v>3241</v>
      </c>
      <c r="WXE6" s="2888" t="s">
        <v>3241</v>
      </c>
      <c r="WXF6" s="2888" t="s">
        <v>3241</v>
      </c>
      <c r="WXG6" s="2888" t="s">
        <v>3241</v>
      </c>
      <c r="WXH6" s="2888" t="s">
        <v>3241</v>
      </c>
      <c r="WXI6" s="2888" t="s">
        <v>3241</v>
      </c>
      <c r="WXJ6" s="2888" t="s">
        <v>3241</v>
      </c>
      <c r="WXK6" s="2888" t="s">
        <v>3241</v>
      </c>
      <c r="WXL6" s="2888" t="s">
        <v>3241</v>
      </c>
      <c r="WXM6" s="2888" t="s">
        <v>3241</v>
      </c>
      <c r="WXN6" s="2888" t="s">
        <v>3241</v>
      </c>
      <c r="WXO6" s="2888" t="s">
        <v>3241</v>
      </c>
      <c r="WXP6" s="2888" t="s">
        <v>3241</v>
      </c>
      <c r="WXQ6" s="2888" t="s">
        <v>3241</v>
      </c>
      <c r="WXR6" s="2888" t="s">
        <v>3241</v>
      </c>
      <c r="WXS6" s="2888" t="s">
        <v>3241</v>
      </c>
      <c r="WXT6" s="2888" t="s">
        <v>3241</v>
      </c>
      <c r="WXU6" s="2888" t="s">
        <v>3241</v>
      </c>
      <c r="WXV6" s="2888" t="s">
        <v>3241</v>
      </c>
      <c r="WXW6" s="2888" t="s">
        <v>3241</v>
      </c>
      <c r="WXX6" s="2888" t="s">
        <v>3241</v>
      </c>
      <c r="WXY6" s="2888" t="s">
        <v>3241</v>
      </c>
      <c r="WXZ6" s="2888" t="s">
        <v>3241</v>
      </c>
      <c r="WYA6" s="2888" t="s">
        <v>3241</v>
      </c>
      <c r="WYB6" s="2888" t="s">
        <v>3241</v>
      </c>
      <c r="WYC6" s="2888" t="s">
        <v>3241</v>
      </c>
      <c r="WYD6" s="2888" t="s">
        <v>3241</v>
      </c>
      <c r="WYE6" s="2888" t="s">
        <v>3241</v>
      </c>
      <c r="WYF6" s="2888" t="s">
        <v>3241</v>
      </c>
      <c r="WYG6" s="2888" t="s">
        <v>3241</v>
      </c>
      <c r="WYH6" s="2888" t="s">
        <v>3241</v>
      </c>
      <c r="WYI6" s="2888" t="s">
        <v>3241</v>
      </c>
      <c r="WYJ6" s="2888" t="s">
        <v>3241</v>
      </c>
      <c r="WYK6" s="2888" t="s">
        <v>3241</v>
      </c>
      <c r="WYL6" s="2888" t="s">
        <v>3241</v>
      </c>
      <c r="WYM6" s="2888" t="s">
        <v>3241</v>
      </c>
      <c r="WYN6" s="2888" t="s">
        <v>3241</v>
      </c>
      <c r="WYO6" s="2888" t="s">
        <v>3241</v>
      </c>
      <c r="WYP6" s="2888" t="s">
        <v>3241</v>
      </c>
      <c r="WYQ6" s="2888" t="s">
        <v>3241</v>
      </c>
      <c r="WYR6" s="2888" t="s">
        <v>3241</v>
      </c>
      <c r="WYS6" s="2888" t="s">
        <v>3241</v>
      </c>
      <c r="WYT6" s="2888" t="s">
        <v>3241</v>
      </c>
      <c r="WYU6" s="2888" t="s">
        <v>3241</v>
      </c>
      <c r="WYV6" s="2888" t="s">
        <v>3241</v>
      </c>
      <c r="WYW6" s="2888" t="s">
        <v>3241</v>
      </c>
      <c r="WYX6" s="2888" t="s">
        <v>3241</v>
      </c>
      <c r="WYY6" s="2888" t="s">
        <v>3241</v>
      </c>
      <c r="WYZ6" s="2888" t="s">
        <v>3241</v>
      </c>
      <c r="WZA6" s="2888" t="s">
        <v>3241</v>
      </c>
      <c r="WZB6" s="2888" t="s">
        <v>3241</v>
      </c>
      <c r="WZC6" s="2888" t="s">
        <v>3241</v>
      </c>
      <c r="WZD6" s="2888" t="s">
        <v>3241</v>
      </c>
      <c r="WZE6" s="2888" t="s">
        <v>3241</v>
      </c>
      <c r="WZF6" s="2888" t="s">
        <v>3241</v>
      </c>
      <c r="WZG6" s="2888" t="s">
        <v>3241</v>
      </c>
      <c r="WZH6" s="2888" t="s">
        <v>3241</v>
      </c>
      <c r="WZI6" s="2888" t="s">
        <v>3241</v>
      </c>
      <c r="WZJ6" s="2888" t="s">
        <v>3241</v>
      </c>
      <c r="WZK6" s="2888" t="s">
        <v>3241</v>
      </c>
      <c r="WZL6" s="2888" t="s">
        <v>3241</v>
      </c>
      <c r="WZM6" s="2888" t="s">
        <v>3241</v>
      </c>
      <c r="WZN6" s="2888" t="s">
        <v>3241</v>
      </c>
      <c r="WZO6" s="2888" t="s">
        <v>3241</v>
      </c>
      <c r="WZP6" s="2888" t="s">
        <v>3241</v>
      </c>
      <c r="WZQ6" s="2888" t="s">
        <v>3241</v>
      </c>
      <c r="WZR6" s="2888" t="s">
        <v>3241</v>
      </c>
      <c r="WZS6" s="2888" t="s">
        <v>3241</v>
      </c>
      <c r="WZT6" s="2888" t="s">
        <v>3241</v>
      </c>
      <c r="WZU6" s="2888" t="s">
        <v>3241</v>
      </c>
      <c r="WZV6" s="2888" t="s">
        <v>3241</v>
      </c>
      <c r="WZW6" s="2888" t="s">
        <v>3241</v>
      </c>
      <c r="WZX6" s="2888" t="s">
        <v>3241</v>
      </c>
      <c r="WZY6" s="2888" t="s">
        <v>3241</v>
      </c>
      <c r="WZZ6" s="2888" t="s">
        <v>3241</v>
      </c>
      <c r="XAA6" s="2888" t="s">
        <v>3241</v>
      </c>
      <c r="XAB6" s="2888" t="s">
        <v>3241</v>
      </c>
      <c r="XAC6" s="2888" t="s">
        <v>3241</v>
      </c>
      <c r="XAD6" s="2888" t="s">
        <v>3241</v>
      </c>
      <c r="XAE6" s="2888" t="s">
        <v>3241</v>
      </c>
      <c r="XAF6" s="2888" t="s">
        <v>3241</v>
      </c>
      <c r="XAG6" s="2888" t="s">
        <v>3241</v>
      </c>
      <c r="XAH6" s="2888" t="s">
        <v>3241</v>
      </c>
      <c r="XAI6" s="2888" t="s">
        <v>3241</v>
      </c>
      <c r="XAJ6" s="2888" t="s">
        <v>3241</v>
      </c>
      <c r="XAK6" s="2888" t="s">
        <v>3241</v>
      </c>
      <c r="XAL6" s="2888" t="s">
        <v>3241</v>
      </c>
      <c r="XAM6" s="2888" t="s">
        <v>3241</v>
      </c>
      <c r="XAN6" s="2888" t="s">
        <v>3241</v>
      </c>
      <c r="XAO6" s="2888" t="s">
        <v>3241</v>
      </c>
      <c r="XAP6" s="2888" t="s">
        <v>3241</v>
      </c>
      <c r="XAQ6" s="2888" t="s">
        <v>3241</v>
      </c>
      <c r="XAR6" s="2888" t="s">
        <v>3241</v>
      </c>
      <c r="XAS6" s="2888" t="s">
        <v>3241</v>
      </c>
      <c r="XAT6" s="2888" t="s">
        <v>3241</v>
      </c>
      <c r="XAU6" s="2888" t="s">
        <v>3241</v>
      </c>
      <c r="XAV6" s="2888" t="s">
        <v>3241</v>
      </c>
      <c r="XAW6" s="2888" t="s">
        <v>3241</v>
      </c>
      <c r="XAX6" s="2888" t="s">
        <v>3241</v>
      </c>
      <c r="XAY6" s="2888" t="s">
        <v>3241</v>
      </c>
      <c r="XAZ6" s="2888" t="s">
        <v>3241</v>
      </c>
      <c r="XBA6" s="2888" t="s">
        <v>3241</v>
      </c>
      <c r="XBB6" s="2888" t="s">
        <v>3241</v>
      </c>
      <c r="XBC6" s="2888" t="s">
        <v>3241</v>
      </c>
      <c r="XBD6" s="2888" t="s">
        <v>3241</v>
      </c>
      <c r="XBE6" s="2888" t="s">
        <v>3241</v>
      </c>
      <c r="XBF6" s="2888" t="s">
        <v>3241</v>
      </c>
      <c r="XBG6" s="2888" t="s">
        <v>3241</v>
      </c>
      <c r="XBH6" s="2888" t="s">
        <v>3241</v>
      </c>
      <c r="XBI6" s="2888" t="s">
        <v>3241</v>
      </c>
      <c r="XBJ6" s="2888" t="s">
        <v>3241</v>
      </c>
      <c r="XBK6" s="2888" t="s">
        <v>3241</v>
      </c>
      <c r="XBL6" s="2888" t="s">
        <v>3241</v>
      </c>
      <c r="XBM6" s="2888" t="s">
        <v>3241</v>
      </c>
      <c r="XBN6" s="2888" t="s">
        <v>3241</v>
      </c>
      <c r="XBO6" s="2888" t="s">
        <v>3241</v>
      </c>
      <c r="XBP6" s="2888" t="s">
        <v>3241</v>
      </c>
      <c r="XBQ6" s="2888" t="s">
        <v>3241</v>
      </c>
      <c r="XBR6" s="2888" t="s">
        <v>3241</v>
      </c>
      <c r="XBS6" s="2888" t="s">
        <v>3241</v>
      </c>
      <c r="XBT6" s="2888" t="s">
        <v>3241</v>
      </c>
      <c r="XBU6" s="2888" t="s">
        <v>3241</v>
      </c>
      <c r="XBV6" s="2888" t="s">
        <v>3241</v>
      </c>
      <c r="XBW6" s="2888" t="s">
        <v>3241</v>
      </c>
      <c r="XBX6" s="2888" t="s">
        <v>3241</v>
      </c>
      <c r="XBY6" s="2888" t="s">
        <v>3241</v>
      </c>
      <c r="XBZ6" s="2888" t="s">
        <v>3241</v>
      </c>
      <c r="XCA6" s="2888" t="s">
        <v>3241</v>
      </c>
      <c r="XCB6" s="2888" t="s">
        <v>3241</v>
      </c>
      <c r="XCC6" s="2888" t="s">
        <v>3241</v>
      </c>
      <c r="XCD6" s="2888" t="s">
        <v>3241</v>
      </c>
      <c r="XCE6" s="2888" t="s">
        <v>3241</v>
      </c>
      <c r="XCF6" s="2888" t="s">
        <v>3241</v>
      </c>
      <c r="XCG6" s="2888" t="s">
        <v>3241</v>
      </c>
      <c r="XCH6" s="2888" t="s">
        <v>3241</v>
      </c>
      <c r="XCI6" s="2888" t="s">
        <v>3241</v>
      </c>
      <c r="XCJ6" s="2888" t="s">
        <v>3241</v>
      </c>
      <c r="XCK6" s="2888" t="s">
        <v>3241</v>
      </c>
      <c r="XCL6" s="2888" t="s">
        <v>3241</v>
      </c>
      <c r="XCM6" s="2888" t="s">
        <v>3241</v>
      </c>
      <c r="XCN6" s="2888" t="s">
        <v>3241</v>
      </c>
      <c r="XCO6" s="2888" t="s">
        <v>3241</v>
      </c>
      <c r="XCP6" s="2888" t="s">
        <v>3241</v>
      </c>
      <c r="XCQ6" s="2888" t="s">
        <v>3241</v>
      </c>
      <c r="XCR6" s="2888" t="s">
        <v>3241</v>
      </c>
      <c r="XCS6" s="2888" t="s">
        <v>3241</v>
      </c>
      <c r="XCT6" s="2888" t="s">
        <v>3241</v>
      </c>
      <c r="XCU6" s="2888" t="s">
        <v>3241</v>
      </c>
      <c r="XCV6" s="2888" t="s">
        <v>3241</v>
      </c>
      <c r="XCW6" s="2888" t="s">
        <v>3241</v>
      </c>
      <c r="XCX6" s="2888" t="s">
        <v>3241</v>
      </c>
      <c r="XCY6" s="2888" t="s">
        <v>3241</v>
      </c>
      <c r="XCZ6" s="2888" t="s">
        <v>3241</v>
      </c>
      <c r="XDA6" s="2888" t="s">
        <v>3241</v>
      </c>
      <c r="XDB6" s="2888" t="s">
        <v>3241</v>
      </c>
      <c r="XDC6" s="2888" t="s">
        <v>3241</v>
      </c>
      <c r="XDD6" s="2888" t="s">
        <v>3241</v>
      </c>
      <c r="XDE6" s="2888" t="s">
        <v>3241</v>
      </c>
      <c r="XDF6" s="2888" t="s">
        <v>3241</v>
      </c>
      <c r="XDG6" s="2888" t="s">
        <v>3241</v>
      </c>
      <c r="XDH6" s="2888" t="s">
        <v>3241</v>
      </c>
      <c r="XDI6" s="2888" t="s">
        <v>3241</v>
      </c>
      <c r="XDJ6" s="2888" t="s">
        <v>3241</v>
      </c>
      <c r="XDK6" s="2888" t="s">
        <v>3241</v>
      </c>
      <c r="XDL6" s="2888" t="s">
        <v>3241</v>
      </c>
      <c r="XDM6" s="2888" t="s">
        <v>3241</v>
      </c>
      <c r="XDN6" s="2888" t="s">
        <v>3241</v>
      </c>
      <c r="XDO6" s="2888" t="s">
        <v>3241</v>
      </c>
      <c r="XDP6" s="2888" t="s">
        <v>3241</v>
      </c>
      <c r="XDQ6" s="2888" t="s">
        <v>3241</v>
      </c>
      <c r="XDR6" s="2888" t="s">
        <v>3241</v>
      </c>
      <c r="XDS6" s="2888" t="s">
        <v>3241</v>
      </c>
      <c r="XDT6" s="2888" t="s">
        <v>3241</v>
      </c>
      <c r="XDU6" s="2888" t="s">
        <v>3241</v>
      </c>
      <c r="XDV6" s="2888" t="s">
        <v>3241</v>
      </c>
      <c r="XDW6" s="2888" t="s">
        <v>3241</v>
      </c>
      <c r="XDX6" s="2888" t="s">
        <v>3241</v>
      </c>
      <c r="XDY6" s="2888" t="s">
        <v>3241</v>
      </c>
      <c r="XDZ6" s="2888" t="s">
        <v>3241</v>
      </c>
      <c r="XEA6" s="2888" t="s">
        <v>3241</v>
      </c>
      <c r="XEB6" s="2888" t="s">
        <v>3241</v>
      </c>
      <c r="XEC6" s="2888" t="s">
        <v>3241</v>
      </c>
      <c r="XED6" s="2888" t="s">
        <v>3241</v>
      </c>
      <c r="XEE6" s="2888" t="s">
        <v>3241</v>
      </c>
      <c r="XEF6" s="2888" t="s">
        <v>3241</v>
      </c>
      <c r="XEG6" s="2888" t="s">
        <v>3241</v>
      </c>
      <c r="XEH6" s="2888" t="s">
        <v>3241</v>
      </c>
      <c r="XEI6" s="2888" t="s">
        <v>3241</v>
      </c>
      <c r="XEJ6" s="2888" t="s">
        <v>3241</v>
      </c>
      <c r="XEK6" s="2888" t="s">
        <v>3241</v>
      </c>
      <c r="XEL6" s="2888" t="s">
        <v>3241</v>
      </c>
      <c r="XEM6" s="2888" t="s">
        <v>3241</v>
      </c>
      <c r="XEN6" s="2888" t="s">
        <v>3241</v>
      </c>
      <c r="XEO6" s="2888" t="s">
        <v>3241</v>
      </c>
      <c r="XEP6" s="2888" t="s">
        <v>3241</v>
      </c>
      <c r="XEQ6" s="2888" t="s">
        <v>3241</v>
      </c>
      <c r="XER6" s="2888" t="s">
        <v>3241</v>
      </c>
      <c r="XES6" s="2888" t="s">
        <v>3241</v>
      </c>
      <c r="XET6" s="2888" t="s">
        <v>3241</v>
      </c>
      <c r="XEU6" s="2888" t="s">
        <v>3241</v>
      </c>
      <c r="XEV6" s="2888" t="s">
        <v>3241</v>
      </c>
      <c r="XEW6" s="2888" t="s">
        <v>3241</v>
      </c>
      <c r="XEX6" s="2888" t="s">
        <v>3241</v>
      </c>
      <c r="XEY6" s="2888" t="s">
        <v>3241</v>
      </c>
      <c r="XEZ6" s="2888" t="s">
        <v>3241</v>
      </c>
      <c r="XFA6" s="2888" t="s">
        <v>3241</v>
      </c>
      <c r="XFB6" s="2888" t="s">
        <v>3241</v>
      </c>
      <c r="XFC6" s="2888" t="s">
        <v>3241</v>
      </c>
      <c r="XFD6" s="2888" t="s">
        <v>3241</v>
      </c>
    </row>
    <row r="7" spans="1:16384">
      <c r="AK7" t="e">
        <f>AK6*1.3</f>
        <v>#VALUE!</v>
      </c>
    </row>
    <row r="10" spans="1:16384">
      <c r="B10" s="3180" t="s">
        <v>3048</v>
      </c>
      <c r="C10" s="3180" t="s">
        <v>3229</v>
      </c>
      <c r="D10" s="3180" t="s">
        <v>3243</v>
      </c>
      <c r="J10">
        <v>4</v>
      </c>
    </row>
    <row r="11" spans="1:16384">
      <c r="A11" s="3282" t="s">
        <v>3233</v>
      </c>
      <c r="B11">
        <v>16758.43</v>
      </c>
      <c r="C11">
        <v>1</v>
      </c>
      <c r="D11">
        <v>6</v>
      </c>
      <c r="E11">
        <f ca="1">E18/C18</f>
        <v>32227.272727272724</v>
      </c>
      <c r="H11">
        <v>1</v>
      </c>
      <c r="I11">
        <v>1</v>
      </c>
    </row>
    <row r="12" spans="1:16384">
      <c r="A12" s="3282" t="s">
        <v>3234</v>
      </c>
      <c r="B12">
        <v>15822.02</v>
      </c>
      <c r="C12" s="3298">
        <v>0.7</v>
      </c>
      <c r="D12">
        <f t="shared" ref="D12:D17" si="0">$D$11*C12</f>
        <v>4.1999999999999993</v>
      </c>
      <c r="H12">
        <v>2</v>
      </c>
      <c r="I12">
        <v>0.6</v>
      </c>
    </row>
    <row r="13" spans="1:16384">
      <c r="A13" s="3282" t="s">
        <v>3235</v>
      </c>
      <c r="B13">
        <v>16928.689999999999</v>
      </c>
      <c r="C13" s="3298">
        <v>0.6</v>
      </c>
      <c r="D13">
        <f t="shared" si="0"/>
        <v>3.5999999999999996</v>
      </c>
      <c r="H13">
        <v>3</v>
      </c>
      <c r="I13">
        <v>0.55000000000000004</v>
      </c>
    </row>
    <row r="14" spans="1:16384">
      <c r="A14" s="3282" t="s">
        <v>3236</v>
      </c>
      <c r="B14">
        <v>16312.64</v>
      </c>
      <c r="C14" s="3298">
        <v>0.55000000000000004</v>
      </c>
      <c r="D14">
        <f t="shared" si="0"/>
        <v>3.3000000000000003</v>
      </c>
      <c r="H14">
        <v>4</v>
      </c>
      <c r="I14">
        <v>0.5</v>
      </c>
    </row>
    <row r="15" spans="1:16384">
      <c r="A15" s="3282" t="s">
        <v>3237</v>
      </c>
      <c r="B15">
        <v>16345.2</v>
      </c>
      <c r="C15" s="3298">
        <v>0.5</v>
      </c>
      <c r="D15">
        <f t="shared" si="0"/>
        <v>3</v>
      </c>
      <c r="H15">
        <v>5</v>
      </c>
      <c r="I15">
        <v>0.45</v>
      </c>
    </row>
    <row r="16" spans="1:16384">
      <c r="A16" s="3282" t="s">
        <v>3238</v>
      </c>
      <c r="B16">
        <v>2109.3000000000002</v>
      </c>
      <c r="C16" s="3298">
        <f>C15</f>
        <v>0.5</v>
      </c>
      <c r="D16">
        <f t="shared" si="0"/>
        <v>3</v>
      </c>
      <c r="I16">
        <f>SUM(I11:I15)/5</f>
        <v>0.62000000000000011</v>
      </c>
      <c r="J16">
        <f>J10*I16</f>
        <v>2.4800000000000004</v>
      </c>
    </row>
    <row r="17" spans="1:6">
      <c r="A17" s="3283" t="s">
        <v>3242</v>
      </c>
      <c r="B17">
        <v>16871</v>
      </c>
      <c r="C17" s="3298">
        <v>0.6</v>
      </c>
      <c r="D17">
        <f t="shared" si="0"/>
        <v>3.5999999999999996</v>
      </c>
    </row>
    <row r="18" spans="1:6">
      <c r="C18">
        <f>ROUND(SUMPRODUCT(C11:C17,B11:B17)/SUM(B11:B17),2)</f>
        <v>0.66</v>
      </c>
      <c r="D18">
        <f>ROUND(SUMPRODUCT(D11:D17,B11:B17)/SUM(B11:B17),2)</f>
        <v>3.93</v>
      </c>
      <c r="E18">
        <f ca="1">不动产收益法商!B3</f>
        <v>21270</v>
      </c>
    </row>
    <row r="23" spans="1:6" ht="15" thickBot="1"/>
    <row r="24" spans="1:6" ht="15" thickBot="1">
      <c r="B24" s="3300" t="s">
        <v>3306</v>
      </c>
      <c r="C24" s="3301" t="s">
        <v>3307</v>
      </c>
      <c r="D24" s="3301" t="s">
        <v>3308</v>
      </c>
      <c r="E24" s="3301" t="s">
        <v>3309</v>
      </c>
      <c r="F24" s="3301" t="s">
        <v>3310</v>
      </c>
    </row>
    <row r="25" spans="1:6" ht="15" thickBot="1">
      <c r="B25" s="3302"/>
      <c r="C25" s="3303"/>
      <c r="D25" s="3303"/>
      <c r="E25" s="3303"/>
      <c r="F25" s="3303"/>
    </row>
    <row r="26" spans="1:6" ht="15" thickBot="1">
      <c r="B26" s="3302"/>
      <c r="C26" s="3303"/>
      <c r="D26" s="3303"/>
      <c r="E26" s="3303"/>
      <c r="F26" s="3303"/>
    </row>
    <row r="27" spans="1:6" ht="15" thickBot="1">
      <c r="B27" s="3302"/>
      <c r="C27" s="3303"/>
      <c r="D27" s="3303"/>
      <c r="E27" s="3303"/>
      <c r="F27" s="3304"/>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4.4">
      <c r="A4" s="509" t="s">
        <v>521</v>
      </c>
      <c r="B4" s="510"/>
      <c r="C4" s="3568" t="s">
        <v>522</v>
      </c>
      <c r="D4" s="3569"/>
      <c r="E4" s="3603" t="s">
        <v>523</v>
      </c>
      <c r="F4" s="3604"/>
      <c r="G4" s="3568" t="s">
        <v>524</v>
      </c>
      <c r="H4" s="3569"/>
      <c r="I4" s="3568" t="s">
        <v>525</v>
      </c>
      <c r="J4" s="3569"/>
      <c r="K4" s="511" t="s">
        <v>526</v>
      </c>
      <c r="L4" s="2113"/>
      <c r="M4" s="2114"/>
      <c r="N4" s="2114"/>
      <c r="O4" s="2114"/>
      <c r="P4" s="3570" t="s">
        <v>527</v>
      </c>
      <c r="Q4" s="3571"/>
      <c r="R4" s="3576" t="s">
        <v>523</v>
      </c>
      <c r="S4" s="3577"/>
      <c r="T4" s="3576" t="s">
        <v>524</v>
      </c>
      <c r="U4" s="3577"/>
      <c r="V4" s="3563" t="s">
        <v>525</v>
      </c>
      <c r="W4" s="3563"/>
      <c r="X4" s="1548"/>
      <c r="Y4" s="3576" t="s">
        <v>527</v>
      </c>
      <c r="Z4" s="3577"/>
      <c r="AA4" s="3565" t="s">
        <v>523</v>
      </c>
      <c r="AB4" s="3563" t="s">
        <v>524</v>
      </c>
      <c r="AC4" s="3565" t="s">
        <v>525</v>
      </c>
    </row>
    <row r="5" spans="1:29">
      <c r="A5" s="512"/>
      <c r="B5" s="513"/>
      <c r="C5" s="3584" t="s">
        <v>2922</v>
      </c>
      <c r="D5" s="3585"/>
      <c r="E5" s="3605" t="s">
        <v>2923</v>
      </c>
      <c r="F5" s="3606"/>
      <c r="G5" s="3584" t="s">
        <v>2924</v>
      </c>
      <c r="H5" s="3585"/>
      <c r="I5" s="3584" t="s">
        <v>2925</v>
      </c>
      <c r="J5" s="3585"/>
      <c r="K5" s="511"/>
      <c r="L5" s="2113"/>
      <c r="M5" s="2114"/>
      <c r="N5" s="2114"/>
      <c r="O5" s="2114"/>
      <c r="P5" s="3572"/>
      <c r="Q5" s="3573"/>
      <c r="R5" s="3578"/>
      <c r="S5" s="3579"/>
      <c r="T5" s="3578"/>
      <c r="U5" s="3579"/>
      <c r="V5" s="3563"/>
      <c r="W5" s="3563"/>
      <c r="X5" s="1548"/>
      <c r="Y5" s="3578"/>
      <c r="Z5" s="3579"/>
      <c r="AA5" s="3566"/>
      <c r="AB5" s="3563"/>
      <c r="AC5" s="3566"/>
    </row>
    <row r="6" spans="1:29" ht="15" thickBot="1">
      <c r="A6" s="514"/>
      <c r="B6" s="515"/>
      <c r="C6" s="3582" t="s">
        <v>2926</v>
      </c>
      <c r="D6" s="3583"/>
      <c r="E6" s="3601" t="s">
        <v>2926</v>
      </c>
      <c r="F6" s="3602"/>
      <c r="G6" s="3582" t="s">
        <v>2926</v>
      </c>
      <c r="H6" s="3583"/>
      <c r="I6" s="3582" t="s">
        <v>2926</v>
      </c>
      <c r="J6" s="3583"/>
      <c r="K6" s="511" t="s">
        <v>528</v>
      </c>
      <c r="L6" s="2113"/>
      <c r="M6" s="2114"/>
      <c r="N6" s="2114"/>
      <c r="O6" s="2114"/>
      <c r="P6" s="3574"/>
      <c r="Q6" s="3575"/>
      <c r="R6" s="3578"/>
      <c r="S6" s="3579"/>
      <c r="T6" s="3580"/>
      <c r="U6" s="3581"/>
      <c r="V6" s="3563"/>
      <c r="W6" s="3563"/>
      <c r="X6" s="1548"/>
      <c r="Y6" s="3580"/>
      <c r="Z6" s="3581"/>
      <c r="AA6" s="3567"/>
      <c r="AB6" s="3563"/>
      <c r="AC6" s="3567"/>
    </row>
    <row r="7" spans="1:29" s="1212" customFormat="1" ht="15" thickBot="1">
      <c r="A7" s="2861"/>
      <c r="B7" s="2868" t="s">
        <v>529</v>
      </c>
      <c r="C7" s="516">
        <f>'数据-取费表'!B2</f>
        <v>44027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594" t="s">
        <v>530</v>
      </c>
      <c r="Q7" s="3596"/>
      <c r="R7" s="1549" t="s">
        <v>8</v>
      </c>
      <c r="S7" s="1550">
        <f t="shared" ref="S7:S15" si="0">F7</f>
        <v>0</v>
      </c>
      <c r="T7" s="1549" t="s">
        <v>8</v>
      </c>
      <c r="U7" s="1550">
        <f t="shared" ref="U7:U15" si="1">H7</f>
        <v>0</v>
      </c>
      <c r="V7" s="1549" t="s">
        <v>8</v>
      </c>
      <c r="W7" s="1550">
        <f t="shared" ref="W7:W15"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594" t="s">
        <v>533</v>
      </c>
      <c r="Q8" s="3595"/>
      <c r="R8" s="1549" t="s">
        <v>8</v>
      </c>
      <c r="S8" s="1550">
        <f t="shared" si="0"/>
        <v>0</v>
      </c>
      <c r="T8" s="1549" t="s">
        <v>8</v>
      </c>
      <c r="U8" s="1550">
        <f t="shared" si="1"/>
        <v>0</v>
      </c>
      <c r="V8" s="1549" t="s">
        <v>8</v>
      </c>
      <c r="W8" s="1550">
        <f t="shared" si="2"/>
        <v>0</v>
      </c>
      <c r="X8" s="1551"/>
      <c r="Y8" s="3594" t="s">
        <v>533</v>
      </c>
      <c r="Z8" s="3595"/>
      <c r="AA8" s="1552" t="e">
        <f t="shared" ref="AA8:AA46" si="3">D8/F8</f>
        <v>#DIV/0!</v>
      </c>
      <c r="AB8" s="1552" t="e">
        <f t="shared" ref="AB8:AB46" si="4">D8/H8</f>
        <v>#DIV/0!</v>
      </c>
      <c r="AC8" s="1552" t="e">
        <f t="shared" ref="AC8:AC46" si="5">D8/J8</f>
        <v>#DIV/0!</v>
      </c>
    </row>
    <row r="9" spans="1:29" s="1212" customFormat="1" ht="14.4">
      <c r="A9" s="2863"/>
      <c r="B9" s="2870" t="s">
        <v>2752</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562" t="s">
        <v>535</v>
      </c>
      <c r="Q9" s="1143" t="str">
        <f t="shared" ref="Q9:Q15" si="6">B9</f>
        <v>用途</v>
      </c>
      <c r="R9" s="1549" t="s">
        <v>8</v>
      </c>
      <c r="S9" s="1550">
        <f t="shared" si="0"/>
        <v>100</v>
      </c>
      <c r="T9" s="1549" t="s">
        <v>8</v>
      </c>
      <c r="U9" s="1550">
        <f t="shared" si="1"/>
        <v>100</v>
      </c>
      <c r="V9" s="1549" t="s">
        <v>8</v>
      </c>
      <c r="W9" s="1550">
        <f t="shared" si="2"/>
        <v>100</v>
      </c>
      <c r="X9" s="1551"/>
      <c r="Y9" s="3504"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562"/>
      <c r="Q11" s="1143" t="str">
        <f t="shared" si="6"/>
        <v>容积率</v>
      </c>
      <c r="R11" s="1549" t="s">
        <v>8</v>
      </c>
      <c r="S11" s="1550" t="e">
        <f t="shared" si="0"/>
        <v>#N/A</v>
      </c>
      <c r="T11" s="1549" t="s">
        <v>8</v>
      </c>
      <c r="U11" s="1550" t="e">
        <f t="shared" si="1"/>
        <v>#N/A</v>
      </c>
      <c r="V11" s="1549" t="s">
        <v>8</v>
      </c>
      <c r="W11" s="1550" t="e">
        <f t="shared" si="2"/>
        <v>#N/A</v>
      </c>
      <c r="X11" s="1551"/>
      <c r="Y11" s="3504"/>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562"/>
      <c r="Q12" s="1143">
        <f t="shared" si="6"/>
        <v>111</v>
      </c>
      <c r="R12" s="1549" t="s">
        <v>8</v>
      </c>
      <c r="S12" s="1550">
        <f t="shared" si="0"/>
        <v>100</v>
      </c>
      <c r="T12" s="1549" t="s">
        <v>8</v>
      </c>
      <c r="U12" s="1550">
        <f t="shared" si="1"/>
        <v>100</v>
      </c>
      <c r="V12" s="1549" t="s">
        <v>8</v>
      </c>
      <c r="W12" s="1550">
        <f t="shared" si="2"/>
        <v>100</v>
      </c>
      <c r="X12" s="1551"/>
      <c r="Y12" s="3504"/>
      <c r="Z12" s="1142">
        <f t="shared" si="7"/>
        <v>111</v>
      </c>
      <c r="AA12" s="1552">
        <f>D12/F12</f>
        <v>1</v>
      </c>
      <c r="AB12" s="1552">
        <f>D12/H12</f>
        <v>1</v>
      </c>
      <c r="AC12" s="1552">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562"/>
      <c r="Q13" s="1143">
        <f t="shared" si="6"/>
        <v>111</v>
      </c>
      <c r="R13" s="1549" t="s">
        <v>8</v>
      </c>
      <c r="S13" s="1550">
        <f t="shared" si="0"/>
        <v>100</v>
      </c>
      <c r="T13" s="1549" t="s">
        <v>8</v>
      </c>
      <c r="U13" s="1550">
        <f t="shared" si="1"/>
        <v>100</v>
      </c>
      <c r="V13" s="1549" t="s">
        <v>8</v>
      </c>
      <c r="W13" s="1550">
        <f t="shared" si="2"/>
        <v>100</v>
      </c>
      <c r="X13" s="1551"/>
      <c r="Y13" s="3504"/>
      <c r="Z13" s="1142">
        <f t="shared" si="7"/>
        <v>111</v>
      </c>
      <c r="AA13" s="1552">
        <f t="shared" si="3"/>
        <v>1</v>
      </c>
      <c r="AB13" s="1552">
        <f t="shared" si="4"/>
        <v>1</v>
      </c>
      <c r="AC13" s="1552">
        <f t="shared" si="5"/>
        <v>1</v>
      </c>
    </row>
    <row r="14" spans="1:29" ht="15.6"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562"/>
      <c r="Q14" s="1143">
        <f t="shared" si="6"/>
        <v>111</v>
      </c>
      <c r="R14" s="1549" t="s">
        <v>8</v>
      </c>
      <c r="S14" s="1550">
        <f t="shared" si="0"/>
        <v>100</v>
      </c>
      <c r="T14" s="1549" t="s">
        <v>8</v>
      </c>
      <c r="U14" s="1550">
        <f t="shared" si="1"/>
        <v>100</v>
      </c>
      <c r="V14" s="1549" t="s">
        <v>8</v>
      </c>
      <c r="W14" s="1550">
        <f t="shared" si="2"/>
        <v>100</v>
      </c>
      <c r="X14" s="1551"/>
      <c r="Y14" s="3504"/>
      <c r="Z14" s="1142">
        <f t="shared" si="7"/>
        <v>111</v>
      </c>
      <c r="AA14" s="1552">
        <f t="shared" si="3"/>
        <v>1</v>
      </c>
      <c r="AB14" s="1552">
        <f t="shared" si="4"/>
        <v>1</v>
      </c>
      <c r="AC14" s="1552">
        <f t="shared" si="5"/>
        <v>1</v>
      </c>
    </row>
    <row r="15" spans="1:29" ht="96.6">
      <c r="A15" s="2859"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597" t="s">
        <v>540</v>
      </c>
      <c r="Q15" s="1553" t="str">
        <f t="shared" si="6"/>
        <v>商业繁华度</v>
      </c>
      <c r="R15" s="1554" t="s">
        <v>8</v>
      </c>
      <c r="S15" s="1555">
        <f t="shared" si="0"/>
        <v>100</v>
      </c>
      <c r="T15" s="1554" t="s">
        <v>8</v>
      </c>
      <c r="U15" s="1555">
        <f t="shared" si="1"/>
        <v>100</v>
      </c>
      <c r="V15" s="1554" t="s">
        <v>8</v>
      </c>
      <c r="W15" s="1555">
        <f t="shared" si="2"/>
        <v>100</v>
      </c>
      <c r="X15" s="1548"/>
      <c r="Y15" s="3597"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8"/>
      <c r="Q16" s="1553"/>
      <c r="R16" s="1554"/>
      <c r="S16" s="1555"/>
      <c r="T16" s="1554"/>
      <c r="U16" s="1555"/>
      <c r="V16" s="1554"/>
      <c r="W16" s="1555"/>
      <c r="X16" s="1548"/>
      <c r="Y16" s="3598"/>
      <c r="Z16" s="1556"/>
      <c r="AA16" s="1557">
        <v>1</v>
      </c>
      <c r="AB16" s="1557">
        <v>1</v>
      </c>
      <c r="AC16" s="1557">
        <v>1</v>
      </c>
    </row>
    <row r="17" spans="1:29" ht="138">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598"/>
      <c r="Q17" s="1553" t="str">
        <f>B17</f>
        <v>交通便捷度</v>
      </c>
      <c r="R17" s="1554" t="s">
        <v>8</v>
      </c>
      <c r="S17" s="1555">
        <f>F17</f>
        <v>100</v>
      </c>
      <c r="T17" s="1554" t="s">
        <v>8</v>
      </c>
      <c r="U17" s="1555">
        <f>H17</f>
        <v>100</v>
      </c>
      <c r="V17" s="1554" t="s">
        <v>8</v>
      </c>
      <c r="W17" s="1555">
        <f>J17</f>
        <v>100</v>
      </c>
      <c r="X17" s="1548"/>
      <c r="Y17" s="3598"/>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8"/>
      <c r="Q18" s="1553"/>
      <c r="R18" s="1554"/>
      <c r="S18" s="1555"/>
      <c r="T18" s="1554"/>
      <c r="U18" s="1555"/>
      <c r="V18" s="1554"/>
      <c r="W18" s="1555"/>
      <c r="X18" s="1548"/>
      <c r="Y18" s="3598"/>
      <c r="Z18" s="1556"/>
      <c r="AA18" s="1557">
        <v>1</v>
      </c>
      <c r="AB18" s="1557">
        <v>1</v>
      </c>
      <c r="AC18" s="1557">
        <v>1</v>
      </c>
    </row>
    <row r="19" spans="1:29" ht="55.2">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598"/>
      <c r="Q19" s="1553" t="str">
        <f>B19</f>
        <v>公共配套设施</v>
      </c>
      <c r="R19" s="1554" t="s">
        <v>8</v>
      </c>
      <c r="S19" s="1555">
        <f>F19</f>
        <v>100</v>
      </c>
      <c r="T19" s="1554" t="s">
        <v>8</v>
      </c>
      <c r="U19" s="1555">
        <f>H19</f>
        <v>100</v>
      </c>
      <c r="V19" s="1554" t="s">
        <v>8</v>
      </c>
      <c r="W19" s="1555">
        <f>J19</f>
        <v>100</v>
      </c>
      <c r="X19" s="1548"/>
      <c r="Y19" s="3598"/>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2"/>
      <c r="M20" s="2114"/>
      <c r="N20" s="2114"/>
      <c r="O20" s="2121"/>
      <c r="P20" s="3598"/>
      <c r="Q20" s="1553"/>
      <c r="R20" s="1554"/>
      <c r="S20" s="1555"/>
      <c r="T20" s="1554"/>
      <c r="U20" s="1555"/>
      <c r="V20" s="1554"/>
      <c r="W20" s="1555"/>
      <c r="X20" s="1548"/>
      <c r="Y20" s="3598"/>
      <c r="Z20" s="1556"/>
      <c r="AA20" s="1557">
        <v>1</v>
      </c>
      <c r="AB20" s="1557">
        <v>1</v>
      </c>
      <c r="AC20" s="1557">
        <v>1</v>
      </c>
    </row>
    <row r="21" spans="1:29" ht="41.4">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598"/>
      <c r="Q21" s="2538" t="str">
        <f>B21</f>
        <v>基础设施水平</v>
      </c>
      <c r="R21" s="1554" t="s">
        <v>8</v>
      </c>
      <c r="S21" s="1555">
        <f>F21</f>
        <v>100</v>
      </c>
      <c r="T21" s="1554" t="s">
        <v>8</v>
      </c>
      <c r="U21" s="1555">
        <f>H21</f>
        <v>100</v>
      </c>
      <c r="V21" s="1554" t="s">
        <v>8</v>
      </c>
      <c r="W21" s="1555">
        <f>J21</f>
        <v>100</v>
      </c>
      <c r="X21" s="2540"/>
      <c r="Y21" s="3598"/>
      <c r="Z21" s="2539" t="str">
        <f>Q21</f>
        <v>基础设施水平</v>
      </c>
      <c r="AA21" s="1557">
        <f>D21/F21</f>
        <v>1</v>
      </c>
      <c r="AB21" s="1557">
        <f>D21/H21</f>
        <v>1</v>
      </c>
      <c r="AC21" s="1557">
        <f>D21/J21</f>
        <v>1</v>
      </c>
    </row>
    <row r="22" spans="1:29" ht="15">
      <c r="A22" s="529"/>
      <c r="B22" s="918"/>
      <c r="C22" s="870"/>
      <c r="D22" s="552"/>
      <c r="E22" s="573"/>
      <c r="F22" s="554"/>
      <c r="G22" s="573"/>
      <c r="H22" s="552"/>
      <c r="I22" s="573"/>
      <c r="J22" s="552"/>
      <c r="K22" s="2561"/>
      <c r="L22" s="2122"/>
      <c r="M22" s="2114"/>
      <c r="N22" s="2114"/>
      <c r="O22" s="2121"/>
      <c r="P22" s="3598"/>
      <c r="Q22" s="2538"/>
      <c r="R22" s="1554"/>
      <c r="S22" s="1555"/>
      <c r="T22" s="1554"/>
      <c r="U22" s="1555"/>
      <c r="V22" s="1554"/>
      <c r="W22" s="1555"/>
      <c r="X22" s="2540"/>
      <c r="Y22" s="3598"/>
      <c r="Z22" s="2539"/>
      <c r="AA22" s="1557">
        <v>1</v>
      </c>
      <c r="AB22" s="1557">
        <v>1</v>
      </c>
      <c r="AC22" s="1557">
        <v>1</v>
      </c>
    </row>
    <row r="23" spans="1:29" ht="82.8">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598"/>
      <c r="Q23" s="1553" t="str">
        <f>B23</f>
        <v>自然及人文环境</v>
      </c>
      <c r="R23" s="1554" t="s">
        <v>8</v>
      </c>
      <c r="S23" s="1555">
        <f>F23</f>
        <v>100</v>
      </c>
      <c r="T23" s="1554" t="s">
        <v>8</v>
      </c>
      <c r="U23" s="1555">
        <f>H23</f>
        <v>100</v>
      </c>
      <c r="V23" s="1554" t="s">
        <v>8</v>
      </c>
      <c r="W23" s="1555">
        <f>J23</f>
        <v>100</v>
      </c>
      <c r="X23" s="1548"/>
      <c r="Y23" s="3598"/>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2"/>
      <c r="M24" s="2114"/>
      <c r="N24" s="2114"/>
      <c r="O24" s="2121"/>
      <c r="P24" s="3598"/>
      <c r="Q24" s="1553"/>
      <c r="R24" s="1554"/>
      <c r="S24" s="1555"/>
      <c r="T24" s="1554"/>
      <c r="U24" s="1555"/>
      <c r="V24" s="1554"/>
      <c r="W24" s="1555"/>
      <c r="X24" s="1548"/>
      <c r="Y24" s="3598"/>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598"/>
      <c r="Q25" s="1553" t="str">
        <f t="shared" ref="Q25:Q46" si="8">B25</f>
        <v>临街状况</v>
      </c>
      <c r="R25" s="1554" t="s">
        <v>8</v>
      </c>
      <c r="S25" s="1555">
        <f>F25</f>
        <v>100</v>
      </c>
      <c r="T25" s="1554" t="s">
        <v>8</v>
      </c>
      <c r="U25" s="1555">
        <f>H25</f>
        <v>100</v>
      </c>
      <c r="V25" s="1554" t="s">
        <v>8</v>
      </c>
      <c r="W25" s="1555">
        <f>J25</f>
        <v>100</v>
      </c>
      <c r="X25" s="1548"/>
      <c r="Y25" s="3598"/>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598"/>
      <c r="Q26" s="1553" t="str">
        <f t="shared" si="8"/>
        <v>平面位置/可视性</v>
      </c>
      <c r="R26" s="1554" t="s">
        <v>8</v>
      </c>
      <c r="S26" s="1555">
        <f>F26</f>
        <v>100</v>
      </c>
      <c r="T26" s="1554" t="s">
        <v>8</v>
      </c>
      <c r="U26" s="1555">
        <f>H26</f>
        <v>100</v>
      </c>
      <c r="V26" s="1554" t="s">
        <v>8</v>
      </c>
      <c r="W26" s="1555">
        <f>J26</f>
        <v>100</v>
      </c>
      <c r="X26" s="1548"/>
      <c r="Y26" s="3598"/>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598"/>
      <c r="Q27" s="1143" t="str">
        <f t="shared" si="8"/>
        <v>人流量</v>
      </c>
      <c r="R27" s="1549" t="s">
        <v>8</v>
      </c>
      <c r="S27" s="1550">
        <f>F27</f>
        <v>100</v>
      </c>
      <c r="T27" s="1549" t="s">
        <v>8</v>
      </c>
      <c r="U27" s="1550">
        <f>H27</f>
        <v>100</v>
      </c>
      <c r="V27" s="1549" t="s">
        <v>8</v>
      </c>
      <c r="W27" s="1550">
        <f>J27</f>
        <v>100</v>
      </c>
      <c r="X27" s="1551"/>
      <c r="Y27" s="3598"/>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598"/>
      <c r="Q28" s="1553" t="str">
        <f t="shared" si="8"/>
        <v>楼层</v>
      </c>
      <c r="R28" s="1554" t="s">
        <v>8</v>
      </c>
      <c r="S28" s="1555">
        <f t="shared" ref="S28:S46" si="9">F28</f>
        <v>100</v>
      </c>
      <c r="T28" s="1554" t="s">
        <v>8</v>
      </c>
      <c r="U28" s="1555">
        <f t="shared" ref="U28:U46" si="10">H28</f>
        <v>100</v>
      </c>
      <c r="V28" s="1554" t="s">
        <v>8</v>
      </c>
      <c r="W28" s="1555">
        <f t="shared" ref="W28:W46" si="11">J28</f>
        <v>100</v>
      </c>
      <c r="X28" s="1548"/>
      <c r="Y28" s="3598"/>
      <c r="Z28" s="1556" t="str">
        <f t="shared" ref="Z28:Z46" si="12">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598"/>
      <c r="Q29" s="1553">
        <f t="shared" si="8"/>
        <v>111</v>
      </c>
      <c r="R29" s="1554" t="s">
        <v>8</v>
      </c>
      <c r="S29" s="1555">
        <f t="shared" si="9"/>
        <v>100</v>
      </c>
      <c r="T29" s="1554" t="s">
        <v>8</v>
      </c>
      <c r="U29" s="1555">
        <f t="shared" si="10"/>
        <v>100</v>
      </c>
      <c r="V29" s="1554" t="s">
        <v>8</v>
      </c>
      <c r="W29" s="1555">
        <f t="shared" si="11"/>
        <v>100</v>
      </c>
      <c r="X29" s="1548"/>
      <c r="Y29" s="3598"/>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598"/>
      <c r="Q30" s="1553">
        <f t="shared" si="8"/>
        <v>111</v>
      </c>
      <c r="R30" s="1554" t="s">
        <v>8</v>
      </c>
      <c r="S30" s="1555">
        <f t="shared" si="9"/>
        <v>100</v>
      </c>
      <c r="T30" s="1554" t="s">
        <v>8</v>
      </c>
      <c r="U30" s="1555">
        <f t="shared" si="10"/>
        <v>100</v>
      </c>
      <c r="V30" s="1554" t="s">
        <v>8</v>
      </c>
      <c r="W30" s="1555">
        <f t="shared" si="11"/>
        <v>100</v>
      </c>
      <c r="X30" s="1548"/>
      <c r="Y30" s="3598"/>
      <c r="Z30" s="1556">
        <f t="shared" si="12"/>
        <v>111</v>
      </c>
      <c r="AA30" s="1557">
        <f t="shared" si="3"/>
        <v>1</v>
      </c>
      <c r="AB30" s="1557">
        <f t="shared" si="4"/>
        <v>1</v>
      </c>
      <c r="AC30" s="1557">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598"/>
      <c r="Q31" s="1553">
        <f t="shared" si="8"/>
        <v>111</v>
      </c>
      <c r="R31" s="1554" t="s">
        <v>8</v>
      </c>
      <c r="S31" s="1555">
        <f t="shared" si="9"/>
        <v>100</v>
      </c>
      <c r="T31" s="1554" t="s">
        <v>8</v>
      </c>
      <c r="U31" s="1555">
        <f t="shared" si="10"/>
        <v>100</v>
      </c>
      <c r="V31" s="1554" t="s">
        <v>8</v>
      </c>
      <c r="W31" s="1555">
        <f t="shared" si="11"/>
        <v>100</v>
      </c>
      <c r="X31" s="1548"/>
      <c r="Y31" s="3598"/>
      <c r="Z31" s="1556">
        <f t="shared" si="12"/>
        <v>111</v>
      </c>
      <c r="AA31" s="1557">
        <f t="shared" si="3"/>
        <v>1</v>
      </c>
      <c r="AB31" s="1557">
        <f t="shared" si="4"/>
        <v>1</v>
      </c>
      <c r="AC31" s="1557">
        <f t="shared" si="5"/>
        <v>1</v>
      </c>
    </row>
    <row r="32" spans="1:29" ht="15">
      <c r="A32" s="2857"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599" t="s">
        <v>550</v>
      </c>
      <c r="Q32" s="1553" t="str">
        <f t="shared" si="8"/>
        <v>商业类型</v>
      </c>
      <c r="R32" s="1554" t="s">
        <v>8</v>
      </c>
      <c r="S32" s="1555">
        <f t="shared" si="9"/>
        <v>100</v>
      </c>
      <c r="T32" s="1554" t="s">
        <v>8</v>
      </c>
      <c r="U32" s="1555">
        <f t="shared" si="10"/>
        <v>100</v>
      </c>
      <c r="V32" s="1554" t="s">
        <v>8</v>
      </c>
      <c r="W32" s="1555">
        <f t="shared" si="11"/>
        <v>100</v>
      </c>
      <c r="X32" s="1548"/>
      <c r="Y32" s="3600" t="s">
        <v>550</v>
      </c>
      <c r="Z32" s="1556" t="str">
        <f t="shared" si="12"/>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600"/>
      <c r="Q33" s="1585" t="str">
        <f t="shared" si="8"/>
        <v>项目建筑规模</v>
      </c>
      <c r="R33" s="1558" t="s">
        <v>8</v>
      </c>
      <c r="S33" s="1559" t="e">
        <f t="shared" si="9"/>
        <v>#N/A</v>
      </c>
      <c r="T33" s="1558" t="s">
        <v>8</v>
      </c>
      <c r="U33" s="1559" t="e">
        <f t="shared" si="10"/>
        <v>#N/A</v>
      </c>
      <c r="V33" s="1558" t="s">
        <v>8</v>
      </c>
      <c r="W33" s="1559" t="e">
        <f t="shared" si="11"/>
        <v>#N/A</v>
      </c>
      <c r="X33" s="1560"/>
      <c r="Y33" s="3600"/>
      <c r="Z33" s="1561" t="str">
        <f t="shared" si="12"/>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600"/>
      <c r="Q34" s="1553" t="str">
        <f t="shared" si="8"/>
        <v>建筑结构</v>
      </c>
      <c r="R34" s="1554" t="s">
        <v>8</v>
      </c>
      <c r="S34" s="1555">
        <f t="shared" si="9"/>
        <v>100</v>
      </c>
      <c r="T34" s="1554" t="s">
        <v>8</v>
      </c>
      <c r="U34" s="1555">
        <f t="shared" si="10"/>
        <v>100</v>
      </c>
      <c r="V34" s="1554" t="s">
        <v>8</v>
      </c>
      <c r="W34" s="1555">
        <f t="shared" si="11"/>
        <v>100</v>
      </c>
      <c r="X34" s="1548"/>
      <c r="Y34" s="3600"/>
      <c r="Z34" s="1556" t="str">
        <f t="shared" si="12"/>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600"/>
      <c r="Q35" s="1553" t="str">
        <f t="shared" si="8"/>
        <v>公共部分装修</v>
      </c>
      <c r="R35" s="1554" t="s">
        <v>8</v>
      </c>
      <c r="S35" s="1555">
        <f t="shared" si="9"/>
        <v>100</v>
      </c>
      <c r="T35" s="1554" t="s">
        <v>8</v>
      </c>
      <c r="U35" s="1555">
        <f t="shared" si="10"/>
        <v>100</v>
      </c>
      <c r="V35" s="1554" t="s">
        <v>8</v>
      </c>
      <c r="W35" s="1555">
        <f t="shared" si="11"/>
        <v>100</v>
      </c>
      <c r="X35" s="1548"/>
      <c r="Y35" s="3600"/>
      <c r="Z35" s="1556" t="str">
        <f t="shared" si="12"/>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600"/>
      <c r="Q36" s="1553" t="str">
        <f t="shared" si="8"/>
        <v>成新度</v>
      </c>
      <c r="R36" s="1554" t="s">
        <v>8</v>
      </c>
      <c r="S36" s="1555" t="e">
        <f t="shared" si="9"/>
        <v>#N/A</v>
      </c>
      <c r="T36" s="1554" t="s">
        <v>8</v>
      </c>
      <c r="U36" s="1555" t="e">
        <f t="shared" si="10"/>
        <v>#N/A</v>
      </c>
      <c r="V36" s="1554" t="s">
        <v>8</v>
      </c>
      <c r="W36" s="1555" t="e">
        <f t="shared" si="11"/>
        <v>#N/A</v>
      </c>
      <c r="X36" s="1548"/>
      <c r="Y36" s="3600"/>
      <c r="Z36" s="1556" t="str">
        <f t="shared" si="12"/>
        <v>成新度</v>
      </c>
      <c r="AA36" s="1557" t="e">
        <f t="shared" si="3"/>
        <v>#N/A</v>
      </c>
      <c r="AB36" s="1557" t="e">
        <f t="shared" si="4"/>
        <v>#N/A</v>
      </c>
      <c r="AC36" s="1557" t="e">
        <f t="shared" si="5"/>
        <v>#N/A</v>
      </c>
    </row>
    <row r="37" spans="1:29" s="1212" customFormat="1" ht="15">
      <c r="A37" s="597"/>
      <c r="B37" s="1875"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600"/>
      <c r="Q37" s="1143" t="str">
        <f t="shared" si="8"/>
        <v>市政基础设施</v>
      </c>
      <c r="R37" s="1549" t="s">
        <v>8</v>
      </c>
      <c r="S37" s="1550">
        <f t="shared" si="9"/>
        <v>100</v>
      </c>
      <c r="T37" s="1549" t="s">
        <v>8</v>
      </c>
      <c r="U37" s="1550">
        <f t="shared" si="10"/>
        <v>100</v>
      </c>
      <c r="V37" s="1549" t="s">
        <v>8</v>
      </c>
      <c r="W37" s="1550">
        <f t="shared" si="11"/>
        <v>100</v>
      </c>
      <c r="X37" s="1551"/>
      <c r="Y37" s="3600"/>
      <c r="Z37" s="1142" t="str">
        <f t="shared" si="12"/>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600" t="s">
        <v>766</v>
      </c>
      <c r="Q38" s="1553" t="str">
        <f t="shared" si="8"/>
        <v>业态</v>
      </c>
      <c r="R38" s="1554" t="s">
        <v>8</v>
      </c>
      <c r="S38" s="1555">
        <f t="shared" si="9"/>
        <v>100</v>
      </c>
      <c r="T38" s="1554" t="s">
        <v>8</v>
      </c>
      <c r="U38" s="1555">
        <f t="shared" si="10"/>
        <v>100</v>
      </c>
      <c r="V38" s="1554" t="s">
        <v>8</v>
      </c>
      <c r="W38" s="1555">
        <f t="shared" si="11"/>
        <v>100</v>
      </c>
      <c r="X38" s="1548"/>
      <c r="Y38" s="3600" t="s">
        <v>766</v>
      </c>
      <c r="Z38" s="1556" t="str">
        <f t="shared" si="12"/>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600"/>
      <c r="Q39" s="1553" t="str">
        <f t="shared" si="8"/>
        <v>层高</v>
      </c>
      <c r="R39" s="1554" t="s">
        <v>8</v>
      </c>
      <c r="S39" s="1555">
        <f t="shared" si="9"/>
        <v>100</v>
      </c>
      <c r="T39" s="1554" t="s">
        <v>8</v>
      </c>
      <c r="U39" s="1555">
        <f t="shared" si="10"/>
        <v>100</v>
      </c>
      <c r="V39" s="1554" t="s">
        <v>8</v>
      </c>
      <c r="W39" s="1555">
        <f t="shared" si="11"/>
        <v>100</v>
      </c>
      <c r="X39" s="1548"/>
      <c r="Y39" s="3600"/>
      <c r="Z39" s="1556" t="str">
        <f t="shared" si="12"/>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600"/>
      <c r="Q40" s="1553" t="str">
        <f t="shared" si="8"/>
        <v>单套建筑面积</v>
      </c>
      <c r="R40" s="1554" t="s">
        <v>8</v>
      </c>
      <c r="S40" s="1555">
        <f t="shared" si="9"/>
        <v>100</v>
      </c>
      <c r="T40" s="1554" t="s">
        <v>8</v>
      </c>
      <c r="U40" s="1555">
        <f t="shared" si="10"/>
        <v>100</v>
      </c>
      <c r="V40" s="1554" t="s">
        <v>8</v>
      </c>
      <c r="W40" s="1555">
        <f t="shared" si="11"/>
        <v>100</v>
      </c>
      <c r="X40" s="1548"/>
      <c r="Y40" s="3600"/>
      <c r="Z40" s="1556" t="str">
        <f t="shared" si="12"/>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600"/>
      <c r="Q41" s="1585" t="str">
        <f t="shared" si="8"/>
        <v>进深比</v>
      </c>
      <c r="R41" s="1558" t="s">
        <v>8</v>
      </c>
      <c r="S41" s="1559">
        <f t="shared" si="9"/>
        <v>100</v>
      </c>
      <c r="T41" s="1558" t="s">
        <v>8</v>
      </c>
      <c r="U41" s="1559">
        <f t="shared" si="10"/>
        <v>100</v>
      </c>
      <c r="V41" s="1558" t="s">
        <v>8</v>
      </c>
      <c r="W41" s="1559">
        <f t="shared" si="11"/>
        <v>100</v>
      </c>
      <c r="X41" s="1560"/>
      <c r="Y41" s="3600"/>
      <c r="Z41" s="1561" t="str">
        <f t="shared" si="12"/>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600"/>
      <c r="Q42" s="1553" t="str">
        <f t="shared" si="8"/>
        <v>内部装修</v>
      </c>
      <c r="R42" s="1554" t="s">
        <v>8</v>
      </c>
      <c r="S42" s="1555">
        <f t="shared" si="9"/>
        <v>100</v>
      </c>
      <c r="T42" s="1554" t="s">
        <v>8</v>
      </c>
      <c r="U42" s="1555">
        <f t="shared" si="10"/>
        <v>100</v>
      </c>
      <c r="V42" s="1554" t="s">
        <v>8</v>
      </c>
      <c r="W42" s="1555">
        <f t="shared" si="11"/>
        <v>100</v>
      </c>
      <c r="X42" s="1548"/>
      <c r="Y42" s="3600"/>
      <c r="Z42" s="1556" t="str">
        <f t="shared" si="12"/>
        <v>内部装修</v>
      </c>
      <c r="AA42" s="1557">
        <f t="shared" si="3"/>
        <v>1</v>
      </c>
      <c r="AB42" s="1557">
        <f t="shared" si="4"/>
        <v>1</v>
      </c>
      <c r="AC42" s="1557">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600"/>
      <c r="Q43" s="1553" t="str">
        <f t="shared" si="8"/>
        <v>内部装修维护情况</v>
      </c>
      <c r="R43" s="1554" t="s">
        <v>8</v>
      </c>
      <c r="S43" s="1555">
        <f t="shared" si="9"/>
        <v>100</v>
      </c>
      <c r="T43" s="1554" t="s">
        <v>8</v>
      </c>
      <c r="U43" s="1555">
        <f t="shared" si="10"/>
        <v>100</v>
      </c>
      <c r="V43" s="1554" t="s">
        <v>8</v>
      </c>
      <c r="W43" s="1555">
        <f t="shared" si="11"/>
        <v>100</v>
      </c>
      <c r="X43" s="1548"/>
      <c r="Y43" s="3600"/>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600"/>
      <c r="Q44" s="1143">
        <f t="shared" si="8"/>
        <v>111</v>
      </c>
      <c r="R44" s="1549" t="s">
        <v>8</v>
      </c>
      <c r="S44" s="1550">
        <f t="shared" si="9"/>
        <v>100</v>
      </c>
      <c r="T44" s="1549" t="s">
        <v>8</v>
      </c>
      <c r="U44" s="1550">
        <f t="shared" si="10"/>
        <v>100</v>
      </c>
      <c r="V44" s="1549" t="s">
        <v>8</v>
      </c>
      <c r="W44" s="1550">
        <f t="shared" si="11"/>
        <v>100</v>
      </c>
      <c r="X44" s="1551"/>
      <c r="Y44" s="3600"/>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600"/>
      <c r="Q45" s="1553">
        <f t="shared" si="8"/>
        <v>111</v>
      </c>
      <c r="R45" s="1554" t="s">
        <v>8</v>
      </c>
      <c r="S45" s="1555">
        <f t="shared" si="9"/>
        <v>100</v>
      </c>
      <c r="T45" s="1554" t="s">
        <v>8</v>
      </c>
      <c r="U45" s="1555">
        <f t="shared" si="10"/>
        <v>100</v>
      </c>
      <c r="V45" s="1554" t="s">
        <v>8</v>
      </c>
      <c r="W45" s="1555">
        <f t="shared" si="11"/>
        <v>100</v>
      </c>
      <c r="X45" s="1548"/>
      <c r="Y45" s="3600"/>
      <c r="Z45" s="1556">
        <f t="shared" si="12"/>
        <v>111</v>
      </c>
      <c r="AA45" s="1557">
        <f t="shared" si="3"/>
        <v>1</v>
      </c>
      <c r="AB45" s="1557">
        <f t="shared" si="4"/>
        <v>1</v>
      </c>
      <c r="AC45" s="1557">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640"/>
      <c r="Q46" s="1553">
        <f t="shared" si="8"/>
        <v>111</v>
      </c>
      <c r="R46" s="1554" t="s">
        <v>8</v>
      </c>
      <c r="S46" s="1555">
        <f t="shared" si="9"/>
        <v>100</v>
      </c>
      <c r="T46" s="1554" t="s">
        <v>8</v>
      </c>
      <c r="U46" s="1555">
        <f t="shared" si="10"/>
        <v>100</v>
      </c>
      <c r="V46" s="1554" t="s">
        <v>8</v>
      </c>
      <c r="W46" s="1555">
        <f t="shared" si="11"/>
        <v>100</v>
      </c>
      <c r="X46" s="1548"/>
      <c r="Y46" s="3640"/>
      <c r="Z46" s="1556">
        <f t="shared" si="12"/>
        <v>111</v>
      </c>
      <c r="AA46" s="1557">
        <f t="shared" si="3"/>
        <v>1</v>
      </c>
      <c r="AB46" s="1557">
        <f t="shared" si="4"/>
        <v>1</v>
      </c>
      <c r="AC46" s="1557">
        <f t="shared" si="5"/>
        <v>1</v>
      </c>
    </row>
    <row r="47" spans="1:29" ht="14.4">
      <c r="A47" s="604" t="s">
        <v>736</v>
      </c>
      <c r="B47" s="883"/>
      <c r="C47" s="2586" t="s">
        <v>1</v>
      </c>
      <c r="D47" s="2587"/>
      <c r="E47" s="2588"/>
      <c r="F47" s="2589"/>
      <c r="G47" s="2590"/>
      <c r="H47" s="2591"/>
      <c r="I47" s="2588"/>
      <c r="J47" s="2591"/>
      <c r="K47" s="1591"/>
      <c r="L47" s="2124"/>
      <c r="M47" s="2125"/>
      <c r="N47" s="2114"/>
      <c r="O47" s="2125"/>
      <c r="P47" s="3562" t="str">
        <f>A47</f>
        <v>成交单价（元/平方米）</v>
      </c>
      <c r="Q47" s="3562"/>
      <c r="R47" s="3639">
        <f>E47</f>
        <v>0</v>
      </c>
      <c r="S47" s="3639"/>
      <c r="T47" s="3639">
        <f>G47</f>
        <v>0</v>
      </c>
      <c r="U47" s="3639"/>
      <c r="V47" s="3639">
        <f>I47</f>
        <v>0</v>
      </c>
      <c r="W47" s="3639"/>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92"/>
      <c r="L48" s="2124"/>
      <c r="M48" s="2125"/>
      <c r="N48" s="2114"/>
      <c r="O48" s="2125"/>
      <c r="P48" s="3562" t="str">
        <f>A48</f>
        <v>比较价格（元/平方米）</v>
      </c>
      <c r="Q48" s="3562"/>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93"/>
      <c r="L49" s="2124"/>
      <c r="M49" s="2125"/>
      <c r="N49" s="2114"/>
      <c r="O49" s="2125"/>
      <c r="P49" s="3559" t="str">
        <f>A49</f>
        <v>估价对象XX用房的比较价格（楼面单价，元/平方米）</v>
      </c>
      <c r="Q49" s="3560"/>
      <c r="R49" s="3638" t="e">
        <f>IF(F1="售价",ROUND(AVERAGE(R48:V48),0),ROUND(AVERAGE(R48:V48),1))</f>
        <v>#DIV/0!</v>
      </c>
      <c r="S49" s="3638"/>
      <c r="T49" s="3638"/>
      <c r="U49" s="3638"/>
      <c r="V49" s="3638"/>
      <c r="W49" s="3638"/>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2"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ht="14.4">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（含）-</v>
      </c>
      <c r="D67" s="679" t="str">
        <f t="shared" ref="D67:L67" si="14">D68&amp;"（含）"&amp;"-"&amp;E68</f>
        <v>（含）-</v>
      </c>
      <c r="E67" s="679" t="str">
        <f t="shared" si="14"/>
        <v>（含）-</v>
      </c>
      <c r="F67" s="679" t="str">
        <f t="shared" si="14"/>
        <v>（含）-</v>
      </c>
      <c r="G67" s="679" t="str">
        <f t="shared" si="14"/>
        <v>（含）-</v>
      </c>
      <c r="H67" s="679" t="str">
        <f t="shared" si="14"/>
        <v>（含）-</v>
      </c>
      <c r="I67" s="679" t="str">
        <f t="shared" si="14"/>
        <v>（含）-</v>
      </c>
      <c r="J67" s="679" t="str">
        <f t="shared" si="14"/>
        <v>（含）-</v>
      </c>
      <c r="K67" s="679" t="str">
        <f t="shared" si="14"/>
        <v>（含）-</v>
      </c>
      <c r="L67" s="679" t="str">
        <f t="shared" si="14"/>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5">C69-$K11</f>
        <v>100</v>
      </c>
      <c r="E69" s="676">
        <f t="shared" si="15"/>
        <v>100</v>
      </c>
      <c r="F69" s="676">
        <f t="shared" si="15"/>
        <v>100</v>
      </c>
      <c r="G69" s="676">
        <f t="shared" si="15"/>
        <v>100</v>
      </c>
      <c r="H69" s="676">
        <f t="shared" si="15"/>
        <v>100</v>
      </c>
      <c r="I69" s="676">
        <f t="shared" si="15"/>
        <v>100</v>
      </c>
      <c r="J69" s="676">
        <f t="shared" si="15"/>
        <v>100</v>
      </c>
      <c r="K69" s="676">
        <f t="shared" si="15"/>
        <v>100</v>
      </c>
      <c r="L69" s="676">
        <f t="shared" si="15"/>
        <v>100</v>
      </c>
      <c r="M69" s="677">
        <f t="shared" si="15"/>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 t="shared" ref="D87:M87" si="16">C87-$K25</f>
        <v>100</v>
      </c>
      <c r="E87" s="676">
        <f t="shared" si="16"/>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1973"/>
      <c r="S87" s="1973"/>
      <c r="T87" s="1973"/>
      <c r="U87" s="1973"/>
      <c r="V87" s="1973"/>
      <c r="W87" s="1973"/>
      <c r="X87" s="1973"/>
      <c r="Y87" s="1973"/>
      <c r="Z87" s="1973"/>
      <c r="AA87" s="1973"/>
      <c r="AB87" s="1973"/>
      <c r="AC87" s="1973"/>
    </row>
    <row r="88" spans="1:29" s="1212" customFormat="1" ht="14.4"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709">
        <v>100</v>
      </c>
      <c r="D91" s="676">
        <f>C91-$K27</f>
        <v>100</v>
      </c>
      <c r="E91" s="676">
        <f t="shared" ref="E91:M91" si="17">D91-$K27</f>
        <v>100</v>
      </c>
      <c r="F91" s="676">
        <f t="shared" si="17"/>
        <v>100</v>
      </c>
      <c r="G91" s="676">
        <f t="shared" si="17"/>
        <v>100</v>
      </c>
      <c r="H91" s="676">
        <f t="shared" si="17"/>
        <v>100</v>
      </c>
      <c r="I91" s="676">
        <f t="shared" si="17"/>
        <v>100</v>
      </c>
      <c r="J91" s="676">
        <f t="shared" si="17"/>
        <v>100</v>
      </c>
      <c r="K91" s="676">
        <f t="shared" si="17"/>
        <v>100</v>
      </c>
      <c r="L91" s="676">
        <f t="shared" si="17"/>
        <v>100</v>
      </c>
      <c r="M91" s="676">
        <f t="shared" si="17"/>
        <v>100</v>
      </c>
      <c r="N91" s="2147"/>
      <c r="O91" s="2147"/>
      <c r="P91" s="2148"/>
      <c r="Q91" s="2149"/>
      <c r="R91" s="2150"/>
      <c r="S91" s="2150"/>
      <c r="T91" s="2150"/>
      <c r="U91" s="2150"/>
      <c r="V91" s="2150"/>
      <c r="W91" s="2150"/>
      <c r="X91" s="2150"/>
      <c r="Y91" s="2150"/>
      <c r="Z91" s="2150"/>
      <c r="AA91" s="2150"/>
      <c r="AB91" s="2150"/>
      <c r="AC91" s="2150"/>
    </row>
    <row r="92" spans="1:29" ht="14.4"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18">C101-$K32</f>
        <v>100</v>
      </c>
      <c r="E101" s="676">
        <f t="shared" si="18"/>
        <v>100</v>
      </c>
      <c r="F101" s="676">
        <f t="shared" si="18"/>
        <v>100</v>
      </c>
      <c r="G101" s="676">
        <f t="shared" si="18"/>
        <v>100</v>
      </c>
      <c r="H101" s="676">
        <f t="shared" si="18"/>
        <v>100</v>
      </c>
      <c r="I101" s="676">
        <f t="shared" si="18"/>
        <v>100</v>
      </c>
      <c r="J101" s="676">
        <f t="shared" si="18"/>
        <v>100</v>
      </c>
      <c r="K101" s="676">
        <f t="shared" si="18"/>
        <v>100</v>
      </c>
      <c r="L101" s="676">
        <f t="shared" si="18"/>
        <v>100</v>
      </c>
      <c r="M101" s="677">
        <f t="shared" si="18"/>
        <v>100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(含)-</v>
      </c>
      <c r="D102" s="705" t="str">
        <f t="shared" ref="D102:L102" si="19">D103&amp;"(含)"&amp;"-"&amp;E103</f>
        <v>(含)-</v>
      </c>
      <c r="E102" s="705" t="str">
        <f t="shared" si="19"/>
        <v>(含)-</v>
      </c>
      <c r="F102" s="705" t="str">
        <f t="shared" si="19"/>
        <v>(含)-</v>
      </c>
      <c r="G102" s="705" t="str">
        <f t="shared" si="19"/>
        <v>(含)-</v>
      </c>
      <c r="H102" s="705" t="str">
        <f t="shared" si="19"/>
        <v>(含)-</v>
      </c>
      <c r="I102" s="705" t="str">
        <f t="shared" si="19"/>
        <v>(含)-</v>
      </c>
      <c r="J102" s="705" t="str">
        <f t="shared" si="19"/>
        <v>(含)-</v>
      </c>
      <c r="K102" s="705" t="str">
        <f t="shared" si="19"/>
        <v>(含)-</v>
      </c>
      <c r="L102" s="705" t="str">
        <f t="shared" si="19"/>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0">C106-$K34</f>
        <v>100</v>
      </c>
      <c r="E106" s="676">
        <f t="shared" si="20"/>
        <v>100</v>
      </c>
      <c r="F106" s="676">
        <f t="shared" si="20"/>
        <v>100</v>
      </c>
      <c r="G106" s="676">
        <f t="shared" si="20"/>
        <v>100</v>
      </c>
      <c r="H106" s="676">
        <f t="shared" si="20"/>
        <v>100</v>
      </c>
      <c r="I106" s="676">
        <f t="shared" si="20"/>
        <v>100</v>
      </c>
      <c r="J106" s="676">
        <f t="shared" si="20"/>
        <v>100</v>
      </c>
      <c r="K106" s="676">
        <f t="shared" si="20"/>
        <v>100</v>
      </c>
      <c r="L106" s="676">
        <f t="shared" si="20"/>
        <v>100</v>
      </c>
      <c r="M106" s="677">
        <f t="shared" si="20"/>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1">C108-$K35</f>
        <v>100</v>
      </c>
      <c r="E108" s="676">
        <f t="shared" si="21"/>
        <v>100</v>
      </c>
      <c r="F108" s="676">
        <f t="shared" si="21"/>
        <v>100</v>
      </c>
      <c r="G108" s="676">
        <f t="shared" si="21"/>
        <v>100</v>
      </c>
      <c r="H108" s="676">
        <f t="shared" si="21"/>
        <v>100</v>
      </c>
      <c r="I108" s="676">
        <f t="shared" si="21"/>
        <v>100</v>
      </c>
      <c r="J108" s="676">
        <f t="shared" si="21"/>
        <v>100</v>
      </c>
      <c r="K108" s="676">
        <f t="shared" si="21"/>
        <v>100</v>
      </c>
      <c r="L108" s="676">
        <f t="shared" si="21"/>
        <v>100</v>
      </c>
      <c r="M108" s="677">
        <f t="shared" si="21"/>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709">
        <v>100</v>
      </c>
      <c r="D111" s="676">
        <f>C111+$K36</f>
        <v>100</v>
      </c>
      <c r="E111" s="676">
        <f t="shared" ref="E111:M111" si="22">D111+$K36</f>
        <v>100</v>
      </c>
      <c r="F111" s="676">
        <f t="shared" si="22"/>
        <v>100</v>
      </c>
      <c r="G111" s="676">
        <f t="shared" si="22"/>
        <v>100</v>
      </c>
      <c r="H111" s="676">
        <f t="shared" si="22"/>
        <v>100</v>
      </c>
      <c r="I111" s="676">
        <f t="shared" si="22"/>
        <v>100</v>
      </c>
      <c r="J111" s="676">
        <f t="shared" si="22"/>
        <v>100</v>
      </c>
      <c r="K111" s="676">
        <f t="shared" si="22"/>
        <v>100</v>
      </c>
      <c r="L111" s="676">
        <f t="shared" si="22"/>
        <v>100</v>
      </c>
      <c r="M111" s="676">
        <f t="shared" si="22"/>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2553</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676">
        <v>100</v>
      </c>
      <c r="D113" s="676">
        <f>C113-$K37</f>
        <v>100</v>
      </c>
      <c r="E113" s="676">
        <f t="shared" ref="E113:M113" si="23">D113-$K37</f>
        <v>100</v>
      </c>
      <c r="F113" s="676">
        <f t="shared" si="23"/>
        <v>100</v>
      </c>
      <c r="G113" s="676">
        <f t="shared" si="23"/>
        <v>100</v>
      </c>
      <c r="H113" s="676">
        <f t="shared" si="23"/>
        <v>100</v>
      </c>
      <c r="I113" s="676">
        <f t="shared" si="23"/>
        <v>100</v>
      </c>
      <c r="J113" s="676">
        <f t="shared" si="23"/>
        <v>100</v>
      </c>
      <c r="K113" s="676">
        <f t="shared" si="23"/>
        <v>100</v>
      </c>
      <c r="L113" s="676">
        <f t="shared" si="23"/>
        <v>100</v>
      </c>
      <c r="M113" s="676">
        <f t="shared" si="23"/>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4">C115-$K38</f>
        <v>100</v>
      </c>
      <c r="E115" s="676">
        <f t="shared" si="24"/>
        <v>100</v>
      </c>
      <c r="F115" s="676">
        <f t="shared" si="24"/>
        <v>100</v>
      </c>
      <c r="G115" s="676">
        <f t="shared" si="24"/>
        <v>100</v>
      </c>
      <c r="H115" s="676">
        <f t="shared" si="24"/>
        <v>100</v>
      </c>
      <c r="I115" s="676">
        <f t="shared" si="24"/>
        <v>100</v>
      </c>
      <c r="J115" s="676">
        <f t="shared" si="24"/>
        <v>100</v>
      </c>
      <c r="K115" s="676">
        <f t="shared" si="24"/>
        <v>100</v>
      </c>
      <c r="L115" s="676">
        <f t="shared" si="24"/>
        <v>100</v>
      </c>
      <c r="M115" s="677">
        <f t="shared" si="24"/>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709">
        <v>100</v>
      </c>
      <c r="D121" s="676">
        <f>C121-$K41</f>
        <v>100</v>
      </c>
      <c r="E121" s="676">
        <f t="shared" ref="E121:M121" si="25">D121-$K41</f>
        <v>100</v>
      </c>
      <c r="F121" s="676">
        <f t="shared" si="25"/>
        <v>100</v>
      </c>
      <c r="G121" s="676">
        <f t="shared" si="25"/>
        <v>100</v>
      </c>
      <c r="H121" s="676">
        <f t="shared" si="25"/>
        <v>100</v>
      </c>
      <c r="I121" s="676">
        <f t="shared" si="25"/>
        <v>100</v>
      </c>
      <c r="J121" s="676">
        <f t="shared" si="25"/>
        <v>100</v>
      </c>
      <c r="K121" s="676">
        <f t="shared" si="25"/>
        <v>100</v>
      </c>
      <c r="L121" s="676">
        <f t="shared" si="25"/>
        <v>100</v>
      </c>
      <c r="M121" s="677">
        <f t="shared" si="25"/>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26">C123-$K42</f>
        <v>100</v>
      </c>
      <c r="E123" s="676">
        <f t="shared" si="26"/>
        <v>100</v>
      </c>
      <c r="F123" s="676">
        <f t="shared" si="26"/>
        <v>100</v>
      </c>
      <c r="G123" s="676">
        <f t="shared" si="26"/>
        <v>100</v>
      </c>
      <c r="H123" s="676">
        <f t="shared" si="26"/>
        <v>100</v>
      </c>
      <c r="I123" s="676">
        <f t="shared" si="26"/>
        <v>100</v>
      </c>
      <c r="J123" s="676">
        <f t="shared" si="26"/>
        <v>100</v>
      </c>
      <c r="K123" s="676">
        <f t="shared" si="26"/>
        <v>100</v>
      </c>
      <c r="L123" s="676">
        <f t="shared" si="26"/>
        <v>100</v>
      </c>
      <c r="M123" s="677">
        <f t="shared" si="26"/>
        <v>100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7" spans="1:4" ht="87">
      <c r="A7" s="2823" t="s">
        <v>2744</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2020年7月15日（评估专业人员勘察现场之日）</v>
      </c>
    </row>
    <row r="12" spans="1:4" ht="17.399999999999999">
      <c r="A12" s="1777" t="s">
        <v>2023</v>
      </c>
    </row>
    <row r="13" spans="1:4" ht="17.399999999999999">
      <c r="A13" s="1771" t="s">
        <v>2069</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根据《国有土地使用证》[]，估价对象（分摊）出让国有建设用地使用权面积为40278.8平方米。根据《建设工程规划许可证》[]、《出让合同》[]，估价对象规划建筑面积为155053平方米。</v>
      </c>
    </row>
    <row r="21" spans="1:1" ht="87">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1" t="s">
        <v>2072</v>
      </c>
    </row>
    <row r="23" spans="1:1" ht="17.399999999999999">
      <c r="A23" s="2825" t="s">
        <v>2745</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52.2">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2201"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777</v>
      </c>
      <c r="C1" s="501" t="s">
        <v>720</v>
      </c>
      <c r="D1" s="846"/>
      <c r="E1" s="503"/>
      <c r="F1" s="2757"/>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4.4">
      <c r="A4" s="509" t="s">
        <v>521</v>
      </c>
      <c r="B4" s="510"/>
      <c r="C4" s="3568" t="s">
        <v>522</v>
      </c>
      <c r="D4" s="3569"/>
      <c r="E4" s="3603" t="s">
        <v>523</v>
      </c>
      <c r="F4" s="3604"/>
      <c r="G4" s="3568" t="s">
        <v>524</v>
      </c>
      <c r="H4" s="3569"/>
      <c r="I4" s="3568" t="s">
        <v>525</v>
      </c>
      <c r="J4" s="3569"/>
      <c r="K4" s="511" t="s">
        <v>526</v>
      </c>
      <c r="L4" s="2113"/>
      <c r="M4" s="2114"/>
      <c r="N4" s="2114"/>
      <c r="O4" s="2114"/>
      <c r="P4" s="3685" t="s">
        <v>527</v>
      </c>
      <c r="Q4" s="3571"/>
      <c r="R4" s="3576" t="s">
        <v>523</v>
      </c>
      <c r="S4" s="3577"/>
      <c r="T4" s="3576" t="s">
        <v>524</v>
      </c>
      <c r="U4" s="3577"/>
      <c r="V4" s="3563" t="s">
        <v>525</v>
      </c>
      <c r="W4" s="3563"/>
      <c r="X4" s="1548"/>
      <c r="Y4" s="3576" t="s">
        <v>527</v>
      </c>
      <c r="Z4" s="3577"/>
      <c r="AA4" s="3565" t="s">
        <v>523</v>
      </c>
      <c r="AB4" s="3565" t="s">
        <v>524</v>
      </c>
      <c r="AC4" s="3565" t="s">
        <v>525</v>
      </c>
    </row>
    <row r="5" spans="1:29">
      <c r="A5" s="512"/>
      <c r="B5" s="513"/>
      <c r="C5" s="3584" t="s">
        <v>2922</v>
      </c>
      <c r="D5" s="3585"/>
      <c r="E5" s="3605" t="s">
        <v>2923</v>
      </c>
      <c r="F5" s="3606"/>
      <c r="G5" s="3584" t="s">
        <v>2924</v>
      </c>
      <c r="H5" s="3585"/>
      <c r="I5" s="3584" t="s">
        <v>2925</v>
      </c>
      <c r="J5" s="3585"/>
      <c r="K5" s="511"/>
      <c r="L5" s="2113"/>
      <c r="M5" s="2114"/>
      <c r="N5" s="2114"/>
      <c r="O5" s="2114"/>
      <c r="P5" s="3686"/>
      <c r="Q5" s="3573"/>
      <c r="R5" s="3578"/>
      <c r="S5" s="3579"/>
      <c r="T5" s="3578"/>
      <c r="U5" s="3579"/>
      <c r="V5" s="3563"/>
      <c r="W5" s="3563"/>
      <c r="X5" s="1548"/>
      <c r="Y5" s="3578"/>
      <c r="Z5" s="3579"/>
      <c r="AA5" s="3566"/>
      <c r="AB5" s="3566"/>
      <c r="AC5" s="3566"/>
    </row>
    <row r="6" spans="1:29" ht="15" thickBot="1">
      <c r="A6" s="514"/>
      <c r="B6" s="515"/>
      <c r="C6" s="3582" t="s">
        <v>2926</v>
      </c>
      <c r="D6" s="3583"/>
      <c r="E6" s="3601" t="s">
        <v>2926</v>
      </c>
      <c r="F6" s="3602"/>
      <c r="G6" s="3582" t="s">
        <v>2926</v>
      </c>
      <c r="H6" s="3583"/>
      <c r="I6" s="3582" t="s">
        <v>2926</v>
      </c>
      <c r="J6" s="3583"/>
      <c r="K6" s="511" t="s">
        <v>528</v>
      </c>
      <c r="L6" s="2113"/>
      <c r="M6" s="2114"/>
      <c r="N6" s="2114"/>
      <c r="O6" s="2114"/>
      <c r="P6" s="3687"/>
      <c r="Q6" s="3575"/>
      <c r="R6" s="3578"/>
      <c r="S6" s="3579"/>
      <c r="T6" s="3580"/>
      <c r="U6" s="3581"/>
      <c r="V6" s="3563"/>
      <c r="W6" s="3563"/>
      <c r="X6" s="1548"/>
      <c r="Y6" s="3580"/>
      <c r="Z6" s="3581"/>
      <c r="AA6" s="3567"/>
      <c r="AB6" s="3567"/>
      <c r="AC6" s="3567"/>
    </row>
    <row r="7" spans="1:29" s="1212" customFormat="1" ht="15" thickBot="1">
      <c r="A7" s="2861"/>
      <c r="B7" s="2868" t="s">
        <v>529</v>
      </c>
      <c r="C7" s="516">
        <f>'数据-取费表'!B2</f>
        <v>44027</v>
      </c>
      <c r="D7" s="517">
        <v>100</v>
      </c>
      <c r="E7" s="518"/>
      <c r="F7" s="519">
        <f>SUMIF(59:59,YEAR(E7)&amp;"-"&amp;MONTH(E7),60:60)</f>
        <v>0</v>
      </c>
      <c r="G7" s="518"/>
      <c r="H7" s="517">
        <f>SUMIF(59:59,YEAR(G7)&amp;"-"&amp;MONTH(G7),60:60)</f>
        <v>0</v>
      </c>
      <c r="I7" s="518"/>
      <c r="J7" s="517">
        <f>SUMIF(59:59,YEAR(I7)&amp;"-"&amp;MONTH(I7),60:60)</f>
        <v>0</v>
      </c>
      <c r="K7" s="521"/>
      <c r="L7" s="2115"/>
      <c r="M7" s="2116"/>
      <c r="N7" s="2116"/>
      <c r="O7" s="2116"/>
      <c r="P7" s="3596" t="s">
        <v>530</v>
      </c>
      <c r="Q7" s="3596"/>
      <c r="R7" s="1549" t="s">
        <v>8</v>
      </c>
      <c r="S7" s="1550">
        <f t="shared" ref="S7:S15" si="0">F7</f>
        <v>0</v>
      </c>
      <c r="T7" s="1549" t="s">
        <v>8</v>
      </c>
      <c r="U7" s="1550">
        <f t="shared" ref="U7:U15" si="1">H7</f>
        <v>0</v>
      </c>
      <c r="V7" s="1549" t="s">
        <v>8</v>
      </c>
      <c r="W7" s="1550">
        <f t="shared" ref="W7:W15"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596" t="s">
        <v>533</v>
      </c>
      <c r="Q8" s="3595"/>
      <c r="R8" s="1549" t="s">
        <v>8</v>
      </c>
      <c r="S8" s="1550">
        <f t="shared" si="0"/>
        <v>0</v>
      </c>
      <c r="T8" s="1549" t="s">
        <v>8</v>
      </c>
      <c r="U8" s="1550">
        <f t="shared" si="1"/>
        <v>0</v>
      </c>
      <c r="V8" s="1549" t="s">
        <v>8</v>
      </c>
      <c r="W8" s="1550">
        <f t="shared" si="2"/>
        <v>0</v>
      </c>
      <c r="X8" s="1551"/>
      <c r="Y8" s="3594" t="s">
        <v>533</v>
      </c>
      <c r="Z8" s="3595"/>
      <c r="AA8" s="1552" t="e">
        <f t="shared" ref="AA8:AA47" si="3">D8/F8</f>
        <v>#DIV/0!</v>
      </c>
      <c r="AB8" s="1552" t="e">
        <f t="shared" ref="AB8:AB47" si="4">D8/H8</f>
        <v>#DIV/0!</v>
      </c>
      <c r="AC8" s="1552" t="e">
        <f t="shared" ref="AC8:AC47" si="5">D8/J8</f>
        <v>#DIV/0!</v>
      </c>
    </row>
    <row r="9" spans="1:29" s="1212" customFormat="1" ht="14.4">
      <c r="A9" s="2863"/>
      <c r="B9" s="2870" t="s">
        <v>2752</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562" t="s">
        <v>535</v>
      </c>
      <c r="Q9" s="1143" t="str">
        <f t="shared" ref="Q9:Q15" si="6">B9</f>
        <v>用途</v>
      </c>
      <c r="R9" s="1549" t="s">
        <v>8</v>
      </c>
      <c r="S9" s="1550">
        <f t="shared" si="0"/>
        <v>100</v>
      </c>
      <c r="T9" s="1549" t="s">
        <v>8</v>
      </c>
      <c r="U9" s="1550">
        <f t="shared" si="1"/>
        <v>100</v>
      </c>
      <c r="V9" s="1549" t="s">
        <v>8</v>
      </c>
      <c r="W9" s="1550">
        <f t="shared" si="2"/>
        <v>100</v>
      </c>
      <c r="X9" s="1551"/>
      <c r="Y9" s="3504"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562"/>
      <c r="Q11" s="1143" t="str">
        <f t="shared" si="6"/>
        <v>容积率</v>
      </c>
      <c r="R11" s="1549" t="s">
        <v>8</v>
      </c>
      <c r="S11" s="1550" t="e">
        <f t="shared" si="0"/>
        <v>#N/A</v>
      </c>
      <c r="T11" s="1549" t="s">
        <v>8</v>
      </c>
      <c r="U11" s="1550" t="e">
        <f t="shared" si="1"/>
        <v>#N/A</v>
      </c>
      <c r="V11" s="1549" t="s">
        <v>8</v>
      </c>
      <c r="W11" s="1550" t="e">
        <f t="shared" si="2"/>
        <v>#N/A</v>
      </c>
      <c r="X11" s="1551"/>
      <c r="Y11" s="3504"/>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562"/>
      <c r="Q12" s="1143">
        <f t="shared" si="6"/>
        <v>111</v>
      </c>
      <c r="R12" s="1549" t="s">
        <v>8</v>
      </c>
      <c r="S12" s="1550">
        <f t="shared" si="0"/>
        <v>100</v>
      </c>
      <c r="T12" s="1549" t="s">
        <v>8</v>
      </c>
      <c r="U12" s="1550">
        <f t="shared" si="1"/>
        <v>100</v>
      </c>
      <c r="V12" s="1549" t="s">
        <v>8</v>
      </c>
      <c r="W12" s="1550">
        <f t="shared" si="2"/>
        <v>100</v>
      </c>
      <c r="X12" s="1551"/>
      <c r="Y12" s="3504"/>
      <c r="Z12" s="1142">
        <f t="shared" si="7"/>
        <v>111</v>
      </c>
      <c r="AA12" s="1552">
        <f>D12/F12</f>
        <v>1</v>
      </c>
      <c r="AB12" s="1552">
        <f>D12/H12</f>
        <v>1</v>
      </c>
      <c r="AC12" s="1552">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562"/>
      <c r="Q13" s="1143">
        <f t="shared" si="6"/>
        <v>111</v>
      </c>
      <c r="R13" s="1549" t="s">
        <v>8</v>
      </c>
      <c r="S13" s="1550">
        <f t="shared" si="0"/>
        <v>100</v>
      </c>
      <c r="T13" s="1549" t="s">
        <v>8</v>
      </c>
      <c r="U13" s="1550">
        <f t="shared" si="1"/>
        <v>100</v>
      </c>
      <c r="V13" s="1549" t="s">
        <v>8</v>
      </c>
      <c r="W13" s="1550">
        <f t="shared" si="2"/>
        <v>100</v>
      </c>
      <c r="X13" s="1551"/>
      <c r="Y13" s="3504"/>
      <c r="Z13" s="1142">
        <f t="shared" si="7"/>
        <v>111</v>
      </c>
      <c r="AA13" s="1552">
        <f t="shared" si="3"/>
        <v>1</v>
      </c>
      <c r="AB13" s="1552">
        <f t="shared" si="4"/>
        <v>1</v>
      </c>
      <c r="AC13" s="1552">
        <f t="shared" si="5"/>
        <v>1</v>
      </c>
    </row>
    <row r="14" spans="1:29" ht="15.6"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562"/>
      <c r="Q14" s="1143">
        <f t="shared" si="6"/>
        <v>111</v>
      </c>
      <c r="R14" s="1549" t="s">
        <v>8</v>
      </c>
      <c r="S14" s="1550">
        <f t="shared" si="0"/>
        <v>100</v>
      </c>
      <c r="T14" s="1549" t="s">
        <v>8</v>
      </c>
      <c r="U14" s="1550">
        <f t="shared" si="1"/>
        <v>100</v>
      </c>
      <c r="V14" s="1549" t="s">
        <v>8</v>
      </c>
      <c r="W14" s="1550">
        <f t="shared" si="2"/>
        <v>100</v>
      </c>
      <c r="X14" s="1551"/>
      <c r="Y14" s="3504"/>
      <c r="Z14" s="1142">
        <f t="shared" si="7"/>
        <v>111</v>
      </c>
      <c r="AA14" s="1552">
        <f t="shared" si="3"/>
        <v>1</v>
      </c>
      <c r="AB14" s="1552">
        <f t="shared" si="4"/>
        <v>1</v>
      </c>
      <c r="AC14" s="1552">
        <f t="shared" si="5"/>
        <v>1</v>
      </c>
    </row>
    <row r="15" spans="1:29" ht="15">
      <c r="A15" s="2859"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597" t="s">
        <v>540</v>
      </c>
      <c r="Q15" s="1553" t="str">
        <f t="shared" si="6"/>
        <v>办公集聚程度</v>
      </c>
      <c r="R15" s="1554" t="s">
        <v>8</v>
      </c>
      <c r="S15" s="1555">
        <f t="shared" si="0"/>
        <v>100</v>
      </c>
      <c r="T15" s="1554" t="s">
        <v>8</v>
      </c>
      <c r="U15" s="1555">
        <f t="shared" si="1"/>
        <v>100</v>
      </c>
      <c r="V15" s="1554" t="s">
        <v>8</v>
      </c>
      <c r="W15" s="1555">
        <f t="shared" si="2"/>
        <v>100</v>
      </c>
      <c r="X15" s="1548"/>
      <c r="Y15" s="3597"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2"/>
      <c r="M16" s="2114"/>
      <c r="N16" s="2114"/>
      <c r="O16" s="2114"/>
      <c r="P16" s="3598"/>
      <c r="Q16" s="1553"/>
      <c r="R16" s="1554"/>
      <c r="S16" s="1555"/>
      <c r="T16" s="1554"/>
      <c r="U16" s="1555"/>
      <c r="V16" s="1554"/>
      <c r="W16" s="1555"/>
      <c r="X16" s="1548"/>
      <c r="Y16" s="3598"/>
      <c r="Z16" s="1556"/>
      <c r="AA16" s="1557">
        <v>1</v>
      </c>
      <c r="AB16" s="1557">
        <v>1</v>
      </c>
      <c r="AC16" s="1557">
        <v>1</v>
      </c>
    </row>
    <row r="17" spans="1:29" ht="138">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598"/>
      <c r="Q17" s="1553" t="str">
        <f>B17</f>
        <v>交通便捷度</v>
      </c>
      <c r="R17" s="1554" t="s">
        <v>8</v>
      </c>
      <c r="S17" s="1555">
        <f>F17</f>
        <v>100</v>
      </c>
      <c r="T17" s="1554" t="s">
        <v>8</v>
      </c>
      <c r="U17" s="1555">
        <f>H17</f>
        <v>100</v>
      </c>
      <c r="V17" s="1554" t="s">
        <v>8</v>
      </c>
      <c r="W17" s="1555">
        <f>J17</f>
        <v>100</v>
      </c>
      <c r="X17" s="1548"/>
      <c r="Y17" s="3598"/>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2"/>
      <c r="M18" s="2114"/>
      <c r="N18" s="2114"/>
      <c r="O18" s="2114"/>
      <c r="P18" s="3598"/>
      <c r="Q18" s="1553"/>
      <c r="R18" s="1554"/>
      <c r="S18" s="1555"/>
      <c r="T18" s="1554"/>
      <c r="U18" s="1555"/>
      <c r="V18" s="1554"/>
      <c r="W18" s="1555"/>
      <c r="X18" s="1548"/>
      <c r="Y18" s="3598"/>
      <c r="Z18" s="1556"/>
      <c r="AA18" s="1557">
        <v>1</v>
      </c>
      <c r="AB18" s="1557">
        <v>1</v>
      </c>
      <c r="AC18" s="1557">
        <v>1</v>
      </c>
    </row>
    <row r="19" spans="1:29" ht="55.2">
      <c r="A19" s="529"/>
      <c r="B19" s="2562"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598"/>
      <c r="Q19" s="1553" t="str">
        <f>B19</f>
        <v>公共配套设施</v>
      </c>
      <c r="R19" s="1554" t="s">
        <v>8</v>
      </c>
      <c r="S19" s="1555">
        <f>F19</f>
        <v>100</v>
      </c>
      <c r="T19" s="1554" t="s">
        <v>8</v>
      </c>
      <c r="U19" s="1555">
        <f>H19</f>
        <v>100</v>
      </c>
      <c r="V19" s="1554" t="s">
        <v>8</v>
      </c>
      <c r="W19" s="1555">
        <f>J19</f>
        <v>100</v>
      </c>
      <c r="X19" s="1548"/>
      <c r="Y19" s="3598"/>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2"/>
      <c r="M20" s="2114"/>
      <c r="N20" s="2114"/>
      <c r="O20" s="2114"/>
      <c r="P20" s="3598"/>
      <c r="Q20" s="1553"/>
      <c r="R20" s="1554"/>
      <c r="S20" s="1555"/>
      <c r="T20" s="1554"/>
      <c r="U20" s="1555"/>
      <c r="V20" s="1554"/>
      <c r="W20" s="1555"/>
      <c r="X20" s="1548"/>
      <c r="Y20" s="3598"/>
      <c r="Z20" s="1556"/>
      <c r="AA20" s="1557">
        <v>1</v>
      </c>
      <c r="AB20" s="1557">
        <v>1</v>
      </c>
      <c r="AC20" s="1557">
        <v>1</v>
      </c>
    </row>
    <row r="21" spans="1:29" ht="41.4">
      <c r="A21" s="529"/>
      <c r="B21" s="2550"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598"/>
      <c r="Q21" s="2538" t="str">
        <f>B21</f>
        <v>基础设施水平</v>
      </c>
      <c r="R21" s="1554" t="s">
        <v>8</v>
      </c>
      <c r="S21" s="1555">
        <f>F21</f>
        <v>100</v>
      </c>
      <c r="T21" s="1554" t="s">
        <v>8</v>
      </c>
      <c r="U21" s="1555">
        <f>H21</f>
        <v>100</v>
      </c>
      <c r="V21" s="1554" t="s">
        <v>8</v>
      </c>
      <c r="W21" s="1555">
        <f>J21</f>
        <v>100</v>
      </c>
      <c r="X21" s="2540"/>
      <c r="Y21" s="3598"/>
      <c r="Z21" s="2539" t="str">
        <f>Q21</f>
        <v>基础设施水平</v>
      </c>
      <c r="AA21" s="1557">
        <f>D21/F21</f>
        <v>1</v>
      </c>
      <c r="AB21" s="1557">
        <f>D21/H21</f>
        <v>1</v>
      </c>
      <c r="AC21" s="1557">
        <f>D21/J21</f>
        <v>1</v>
      </c>
    </row>
    <row r="22" spans="1:29" ht="15">
      <c r="A22" s="529"/>
      <c r="B22" s="575"/>
      <c r="C22" s="564"/>
      <c r="D22" s="552"/>
      <c r="E22" s="573"/>
      <c r="F22" s="552"/>
      <c r="G22" s="551"/>
      <c r="H22" s="552"/>
      <c r="I22" s="551"/>
      <c r="J22" s="552"/>
      <c r="K22" s="2561"/>
      <c r="L22" s="2122"/>
      <c r="M22" s="2114"/>
      <c r="N22" s="2114"/>
      <c r="O22" s="2114"/>
      <c r="P22" s="3598"/>
      <c r="Q22" s="2538"/>
      <c r="R22" s="1554"/>
      <c r="S22" s="1555"/>
      <c r="T22" s="1554"/>
      <c r="U22" s="1555"/>
      <c r="V22" s="1554"/>
      <c r="W22" s="1555"/>
      <c r="X22" s="2540"/>
      <c r="Y22" s="3598"/>
      <c r="Z22" s="2539"/>
      <c r="AA22" s="1557">
        <v>1</v>
      </c>
      <c r="AB22" s="1557">
        <v>1</v>
      </c>
      <c r="AC22" s="1557">
        <v>1</v>
      </c>
    </row>
    <row r="23" spans="1:29" ht="82.8">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598"/>
      <c r="Q23" s="1553" t="str">
        <f>B23</f>
        <v>环境质量</v>
      </c>
      <c r="R23" s="1554" t="s">
        <v>8</v>
      </c>
      <c r="S23" s="1555">
        <f>F23</f>
        <v>100</v>
      </c>
      <c r="T23" s="1554" t="s">
        <v>8</v>
      </c>
      <c r="U23" s="1555">
        <f>H23</f>
        <v>100</v>
      </c>
      <c r="V23" s="1554" t="s">
        <v>8</v>
      </c>
      <c r="W23" s="1555">
        <f>J23</f>
        <v>100</v>
      </c>
      <c r="X23" s="1548"/>
      <c r="Y23" s="3598"/>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2"/>
      <c r="M24" s="2114"/>
      <c r="N24" s="2114"/>
      <c r="O24" s="2114"/>
      <c r="P24" s="3598"/>
      <c r="Q24" s="1553"/>
      <c r="R24" s="1554"/>
      <c r="S24" s="1555"/>
      <c r="T24" s="1554"/>
      <c r="U24" s="1555"/>
      <c r="V24" s="1554"/>
      <c r="W24" s="1555"/>
      <c r="X24" s="1548"/>
      <c r="Y24" s="3598"/>
      <c r="Z24" s="1556"/>
      <c r="AA24" s="1557">
        <v>1</v>
      </c>
      <c r="AB24" s="1557">
        <v>1</v>
      </c>
      <c r="AC24" s="1557">
        <v>1</v>
      </c>
    </row>
    <row r="25" spans="1:29" ht="28.8">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598"/>
      <c r="Q25" s="1553" t="str">
        <f>B25</f>
        <v>毗邻道路的类型与等级</v>
      </c>
      <c r="R25" s="1554" t="s">
        <v>8</v>
      </c>
      <c r="S25" s="1555">
        <f>F25</f>
        <v>100</v>
      </c>
      <c r="T25" s="1554" t="s">
        <v>8</v>
      </c>
      <c r="U25" s="1555">
        <f>H25</f>
        <v>100</v>
      </c>
      <c r="V25" s="1554" t="s">
        <v>8</v>
      </c>
      <c r="W25" s="1555">
        <f>J25</f>
        <v>100</v>
      </c>
      <c r="X25" s="1548"/>
      <c r="Y25" s="3598"/>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2"/>
      <c r="M26" s="2114"/>
      <c r="N26" s="2114"/>
      <c r="O26" s="2114"/>
      <c r="P26" s="3598"/>
      <c r="Q26" s="1553"/>
      <c r="R26" s="1554"/>
      <c r="S26" s="1555"/>
      <c r="T26" s="1554"/>
      <c r="U26" s="1555"/>
      <c r="V26" s="1554"/>
      <c r="W26" s="1555"/>
      <c r="X26" s="1548"/>
      <c r="Y26" s="3598"/>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598"/>
      <c r="Q27" s="1553" t="str">
        <f t="shared" ref="Q27:Q47" si="8">B27</f>
        <v>楼层</v>
      </c>
      <c r="R27" s="1554" t="s">
        <v>8</v>
      </c>
      <c r="S27" s="1555">
        <f>F27</f>
        <v>100</v>
      </c>
      <c r="T27" s="1554" t="s">
        <v>8</v>
      </c>
      <c r="U27" s="1555">
        <f>H27</f>
        <v>100</v>
      </c>
      <c r="V27" s="1554" t="s">
        <v>8</v>
      </c>
      <c r="W27" s="1555">
        <f>J27</f>
        <v>100</v>
      </c>
      <c r="X27" s="1548"/>
      <c r="Y27" s="3598"/>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598"/>
      <c r="Q28" s="1143" t="str">
        <f t="shared" si="8"/>
        <v>朝向</v>
      </c>
      <c r="R28" s="1549" t="s">
        <v>8</v>
      </c>
      <c r="S28" s="1550">
        <f>F28</f>
        <v>100</v>
      </c>
      <c r="T28" s="1549" t="s">
        <v>8</v>
      </c>
      <c r="U28" s="1550">
        <f>H28</f>
        <v>100</v>
      </c>
      <c r="V28" s="1549" t="s">
        <v>8</v>
      </c>
      <c r="W28" s="1550">
        <f>J28</f>
        <v>100</v>
      </c>
      <c r="X28" s="1551"/>
      <c r="Y28" s="3598"/>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598"/>
      <c r="Q29" s="1553">
        <f t="shared" si="8"/>
        <v>111</v>
      </c>
      <c r="R29" s="1554" t="s">
        <v>8</v>
      </c>
      <c r="S29" s="1555">
        <f t="shared" ref="S29:S47" si="9">F29</f>
        <v>100</v>
      </c>
      <c r="T29" s="1554" t="s">
        <v>8</v>
      </c>
      <c r="U29" s="1555">
        <f t="shared" ref="U29:U47" si="10">H29</f>
        <v>100</v>
      </c>
      <c r="V29" s="1554" t="s">
        <v>8</v>
      </c>
      <c r="W29" s="1555">
        <f t="shared" ref="W29:W47" si="11">J29</f>
        <v>100</v>
      </c>
      <c r="X29" s="1548"/>
      <c r="Y29" s="3598"/>
      <c r="Z29" s="1556">
        <f t="shared" ref="Z29:Z47" si="12">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598"/>
      <c r="Q30" s="1553">
        <f t="shared" si="8"/>
        <v>111</v>
      </c>
      <c r="R30" s="1554" t="s">
        <v>8</v>
      </c>
      <c r="S30" s="1555">
        <f t="shared" si="9"/>
        <v>100</v>
      </c>
      <c r="T30" s="1554" t="s">
        <v>8</v>
      </c>
      <c r="U30" s="1555">
        <f t="shared" si="10"/>
        <v>100</v>
      </c>
      <c r="V30" s="1554" t="s">
        <v>8</v>
      </c>
      <c r="W30" s="1555">
        <f t="shared" si="11"/>
        <v>100</v>
      </c>
      <c r="X30" s="1548"/>
      <c r="Y30" s="3598"/>
      <c r="Z30" s="1556">
        <f t="shared" si="12"/>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598"/>
      <c r="Q31" s="1553">
        <f t="shared" si="8"/>
        <v>111</v>
      </c>
      <c r="R31" s="1554" t="s">
        <v>8</v>
      </c>
      <c r="S31" s="1555">
        <f t="shared" si="9"/>
        <v>100</v>
      </c>
      <c r="T31" s="1554" t="s">
        <v>8</v>
      </c>
      <c r="U31" s="1555">
        <f t="shared" si="10"/>
        <v>100</v>
      </c>
      <c r="V31" s="1554" t="s">
        <v>8</v>
      </c>
      <c r="W31" s="1555">
        <f t="shared" si="11"/>
        <v>100</v>
      </c>
      <c r="X31" s="1548"/>
      <c r="Y31" s="3598"/>
      <c r="Z31" s="1556">
        <f t="shared" si="12"/>
        <v>111</v>
      </c>
      <c r="AA31" s="1557">
        <f t="shared" si="3"/>
        <v>1</v>
      </c>
      <c r="AB31" s="1557">
        <f t="shared" si="4"/>
        <v>1</v>
      </c>
      <c r="AC31" s="1557">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598"/>
      <c r="Q32" s="1553">
        <f t="shared" si="8"/>
        <v>111</v>
      </c>
      <c r="R32" s="1554" t="s">
        <v>8</v>
      </c>
      <c r="S32" s="1555">
        <f t="shared" si="9"/>
        <v>100</v>
      </c>
      <c r="T32" s="1554" t="s">
        <v>8</v>
      </c>
      <c r="U32" s="1555">
        <f t="shared" si="10"/>
        <v>100</v>
      </c>
      <c r="V32" s="1554" t="s">
        <v>8</v>
      </c>
      <c r="W32" s="1555">
        <f t="shared" si="11"/>
        <v>100</v>
      </c>
      <c r="X32" s="1548"/>
      <c r="Y32" s="3598"/>
      <c r="Z32" s="1556">
        <f t="shared" si="12"/>
        <v>111</v>
      </c>
      <c r="AA32" s="1557">
        <f t="shared" si="3"/>
        <v>1</v>
      </c>
      <c r="AB32" s="1557">
        <f t="shared" si="4"/>
        <v>1</v>
      </c>
      <c r="AC32" s="1557">
        <f t="shared" si="5"/>
        <v>1</v>
      </c>
    </row>
    <row r="33" spans="1:29" ht="15">
      <c r="A33" s="2857"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599" t="s">
        <v>550</v>
      </c>
      <c r="Q33" s="1553" t="str">
        <f t="shared" si="8"/>
        <v>建筑类型</v>
      </c>
      <c r="R33" s="1554" t="s">
        <v>8</v>
      </c>
      <c r="S33" s="1555">
        <f t="shared" si="9"/>
        <v>100</v>
      </c>
      <c r="T33" s="1554" t="s">
        <v>8</v>
      </c>
      <c r="U33" s="1555">
        <f t="shared" si="10"/>
        <v>100</v>
      </c>
      <c r="V33" s="1554" t="s">
        <v>8</v>
      </c>
      <c r="W33" s="1555">
        <f t="shared" si="11"/>
        <v>100</v>
      </c>
      <c r="X33" s="1548"/>
      <c r="Y33" s="3600" t="s">
        <v>550</v>
      </c>
      <c r="Z33" s="1556" t="str">
        <f t="shared" si="12"/>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600"/>
      <c r="Q34" s="1585" t="str">
        <f t="shared" si="8"/>
        <v>项目建筑规模</v>
      </c>
      <c r="R34" s="1558" t="s">
        <v>8</v>
      </c>
      <c r="S34" s="1559" t="e">
        <f t="shared" si="9"/>
        <v>#N/A</v>
      </c>
      <c r="T34" s="1558" t="s">
        <v>8</v>
      </c>
      <c r="U34" s="1559" t="e">
        <f t="shared" si="10"/>
        <v>#N/A</v>
      </c>
      <c r="V34" s="1558" t="s">
        <v>8</v>
      </c>
      <c r="W34" s="1559" t="e">
        <f t="shared" si="11"/>
        <v>#N/A</v>
      </c>
      <c r="X34" s="1560"/>
      <c r="Y34" s="3600"/>
      <c r="Z34" s="1561" t="str">
        <f t="shared" si="12"/>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600"/>
      <c r="Q35" s="1553" t="str">
        <f t="shared" si="8"/>
        <v>建筑结构</v>
      </c>
      <c r="R35" s="1554" t="s">
        <v>8</v>
      </c>
      <c r="S35" s="1555">
        <f t="shared" si="9"/>
        <v>100</v>
      </c>
      <c r="T35" s="1554" t="s">
        <v>8</v>
      </c>
      <c r="U35" s="1555">
        <f t="shared" si="10"/>
        <v>100</v>
      </c>
      <c r="V35" s="1554" t="s">
        <v>8</v>
      </c>
      <c r="W35" s="1555">
        <f t="shared" si="11"/>
        <v>100</v>
      </c>
      <c r="X35" s="1548"/>
      <c r="Y35" s="3600"/>
      <c r="Z35" s="1556" t="str">
        <f t="shared" si="12"/>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600"/>
      <c r="Q36" s="1553" t="str">
        <f t="shared" si="8"/>
        <v>公共部分装修</v>
      </c>
      <c r="R36" s="1554" t="s">
        <v>8</v>
      </c>
      <c r="S36" s="1555">
        <f t="shared" si="9"/>
        <v>100</v>
      </c>
      <c r="T36" s="1554" t="s">
        <v>8</v>
      </c>
      <c r="U36" s="1555">
        <f t="shared" si="10"/>
        <v>100</v>
      </c>
      <c r="V36" s="1554" t="s">
        <v>8</v>
      </c>
      <c r="W36" s="1555">
        <f t="shared" si="11"/>
        <v>100</v>
      </c>
      <c r="X36" s="1548"/>
      <c r="Y36" s="3600"/>
      <c r="Z36" s="1556" t="str">
        <f t="shared" si="12"/>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600"/>
      <c r="Q37" s="1553" t="str">
        <f t="shared" si="8"/>
        <v>成新度</v>
      </c>
      <c r="R37" s="1554" t="s">
        <v>8</v>
      </c>
      <c r="S37" s="1555" t="e">
        <f t="shared" si="9"/>
        <v>#N/A</v>
      </c>
      <c r="T37" s="1554" t="s">
        <v>8</v>
      </c>
      <c r="U37" s="1555" t="e">
        <f t="shared" si="10"/>
        <v>#N/A</v>
      </c>
      <c r="V37" s="1554" t="s">
        <v>8</v>
      </c>
      <c r="W37" s="1555" t="e">
        <f t="shared" si="11"/>
        <v>#N/A</v>
      </c>
      <c r="X37" s="1548"/>
      <c r="Y37" s="3600"/>
      <c r="Z37" s="1556" t="str">
        <f t="shared" si="12"/>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600"/>
      <c r="Q38" s="1143" t="str">
        <f t="shared" si="8"/>
        <v>写字楼等级</v>
      </c>
      <c r="R38" s="1549" t="s">
        <v>8</v>
      </c>
      <c r="S38" s="1550">
        <f t="shared" si="9"/>
        <v>100</v>
      </c>
      <c r="T38" s="1549" t="s">
        <v>8</v>
      </c>
      <c r="U38" s="1550">
        <f t="shared" si="10"/>
        <v>100</v>
      </c>
      <c r="V38" s="1549" t="s">
        <v>8</v>
      </c>
      <c r="W38" s="1550">
        <f t="shared" si="11"/>
        <v>100</v>
      </c>
      <c r="X38" s="1551"/>
      <c r="Y38" s="3600"/>
      <c r="Z38" s="1142" t="str">
        <f t="shared" si="12"/>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600" t="s">
        <v>550</v>
      </c>
      <c r="Q39" s="1553" t="str">
        <f t="shared" si="8"/>
        <v>物业管理</v>
      </c>
      <c r="R39" s="1554" t="s">
        <v>8</v>
      </c>
      <c r="S39" s="1555">
        <f t="shared" si="9"/>
        <v>100</v>
      </c>
      <c r="T39" s="1554" t="s">
        <v>8</v>
      </c>
      <c r="U39" s="1555">
        <f t="shared" si="10"/>
        <v>100</v>
      </c>
      <c r="V39" s="1554" t="s">
        <v>8</v>
      </c>
      <c r="W39" s="1555">
        <f t="shared" si="11"/>
        <v>100</v>
      </c>
      <c r="X39" s="1548"/>
      <c r="Y39" s="3600" t="s">
        <v>550</v>
      </c>
      <c r="Z39" s="1556" t="str">
        <f t="shared" si="12"/>
        <v>物业管理</v>
      </c>
      <c r="AA39" s="1557">
        <f t="shared" si="3"/>
        <v>1</v>
      </c>
      <c r="AB39" s="1557">
        <f t="shared" si="4"/>
        <v>1</v>
      </c>
      <c r="AC39" s="1557">
        <f t="shared" si="5"/>
        <v>1</v>
      </c>
    </row>
    <row r="40" spans="1:29" ht="15">
      <c r="A40" s="591"/>
      <c r="B40" s="1875"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600"/>
      <c r="Q40" s="1553" t="str">
        <f t="shared" si="8"/>
        <v>市政基础设施</v>
      </c>
      <c r="R40" s="1554" t="s">
        <v>8</v>
      </c>
      <c r="S40" s="1555">
        <f t="shared" si="9"/>
        <v>100</v>
      </c>
      <c r="T40" s="1554" t="s">
        <v>8</v>
      </c>
      <c r="U40" s="1555">
        <f t="shared" si="10"/>
        <v>100</v>
      </c>
      <c r="V40" s="1554" t="s">
        <v>8</v>
      </c>
      <c r="W40" s="1555">
        <f t="shared" si="11"/>
        <v>100</v>
      </c>
      <c r="X40" s="1548"/>
      <c r="Y40" s="3600"/>
      <c r="Z40" s="1556" t="str">
        <f t="shared" si="12"/>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600"/>
      <c r="Q41" s="1553" t="str">
        <f t="shared" si="8"/>
        <v>层高</v>
      </c>
      <c r="R41" s="1554" t="s">
        <v>8</v>
      </c>
      <c r="S41" s="1555">
        <f t="shared" si="9"/>
        <v>100</v>
      </c>
      <c r="T41" s="1554" t="s">
        <v>8</v>
      </c>
      <c r="U41" s="1555">
        <f t="shared" si="10"/>
        <v>100</v>
      </c>
      <c r="V41" s="1554" t="s">
        <v>8</v>
      </c>
      <c r="W41" s="1555">
        <f t="shared" si="11"/>
        <v>100</v>
      </c>
      <c r="X41" s="1548"/>
      <c r="Y41" s="3600"/>
      <c r="Z41" s="1556" t="str">
        <f t="shared" si="12"/>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600"/>
      <c r="Q42" s="1585" t="str">
        <f t="shared" si="8"/>
        <v>单套建筑面积</v>
      </c>
      <c r="R42" s="1558" t="s">
        <v>8</v>
      </c>
      <c r="S42" s="1559">
        <f t="shared" si="9"/>
        <v>100</v>
      </c>
      <c r="T42" s="1558" t="s">
        <v>8</v>
      </c>
      <c r="U42" s="1559">
        <f t="shared" si="10"/>
        <v>100</v>
      </c>
      <c r="V42" s="1558" t="s">
        <v>8</v>
      </c>
      <c r="W42" s="1559">
        <f t="shared" si="11"/>
        <v>100</v>
      </c>
      <c r="X42" s="1560"/>
      <c r="Y42" s="3600"/>
      <c r="Z42" s="1561" t="str">
        <f t="shared" si="12"/>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600"/>
      <c r="Q43" s="1553" t="str">
        <f t="shared" si="8"/>
        <v>内部装修</v>
      </c>
      <c r="R43" s="1554" t="s">
        <v>8</v>
      </c>
      <c r="S43" s="1555">
        <f t="shared" si="9"/>
        <v>100</v>
      </c>
      <c r="T43" s="1554" t="s">
        <v>8</v>
      </c>
      <c r="U43" s="1555">
        <f t="shared" si="10"/>
        <v>100</v>
      </c>
      <c r="V43" s="1554" t="s">
        <v>8</v>
      </c>
      <c r="W43" s="1555">
        <f t="shared" si="11"/>
        <v>100</v>
      </c>
      <c r="X43" s="1548"/>
      <c r="Y43" s="3600"/>
      <c r="Z43" s="1556" t="str">
        <f t="shared" si="12"/>
        <v>内部装修</v>
      </c>
      <c r="AA43" s="1557">
        <f t="shared" si="3"/>
        <v>1</v>
      </c>
      <c r="AB43" s="1557">
        <f t="shared" si="4"/>
        <v>1</v>
      </c>
      <c r="AC43" s="1557">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600"/>
      <c r="Q44" s="1553" t="str">
        <f t="shared" si="8"/>
        <v>内部装修维护情况</v>
      </c>
      <c r="R44" s="1554" t="s">
        <v>8</v>
      </c>
      <c r="S44" s="1555">
        <f t="shared" si="9"/>
        <v>100</v>
      </c>
      <c r="T44" s="1554" t="s">
        <v>8</v>
      </c>
      <c r="U44" s="1555">
        <f t="shared" si="10"/>
        <v>100</v>
      </c>
      <c r="V44" s="1554" t="s">
        <v>8</v>
      </c>
      <c r="W44" s="1555">
        <f t="shared" si="11"/>
        <v>100</v>
      </c>
      <c r="X44" s="1548"/>
      <c r="Y44" s="3600"/>
      <c r="Z44" s="1556" t="str">
        <f t="shared" si="12"/>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600"/>
      <c r="Q45" s="1143">
        <f t="shared" si="8"/>
        <v>111</v>
      </c>
      <c r="R45" s="1549" t="s">
        <v>8</v>
      </c>
      <c r="S45" s="1550">
        <f t="shared" si="9"/>
        <v>100</v>
      </c>
      <c r="T45" s="1549" t="s">
        <v>8</v>
      </c>
      <c r="U45" s="1550">
        <f t="shared" si="10"/>
        <v>100</v>
      </c>
      <c r="V45" s="1549" t="s">
        <v>8</v>
      </c>
      <c r="W45" s="1550">
        <f t="shared" si="11"/>
        <v>100</v>
      </c>
      <c r="X45" s="1551"/>
      <c r="Y45" s="3600"/>
      <c r="Z45" s="1142">
        <f t="shared" si="12"/>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600"/>
      <c r="Q46" s="1553">
        <f t="shared" si="8"/>
        <v>111</v>
      </c>
      <c r="R46" s="1554" t="s">
        <v>8</v>
      </c>
      <c r="S46" s="1555">
        <f t="shared" si="9"/>
        <v>100</v>
      </c>
      <c r="T46" s="1554" t="s">
        <v>8</v>
      </c>
      <c r="U46" s="1555">
        <f t="shared" si="10"/>
        <v>100</v>
      </c>
      <c r="V46" s="1554" t="s">
        <v>8</v>
      </c>
      <c r="W46" s="1555">
        <f t="shared" si="11"/>
        <v>100</v>
      </c>
      <c r="X46" s="1548"/>
      <c r="Y46" s="3600"/>
      <c r="Z46" s="1556">
        <f t="shared" si="12"/>
        <v>111</v>
      </c>
      <c r="AA46" s="1557">
        <f t="shared" si="3"/>
        <v>1</v>
      </c>
      <c r="AB46" s="1557">
        <f t="shared" si="4"/>
        <v>1</v>
      </c>
      <c r="AC46" s="1557">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640"/>
      <c r="Q47" s="1553">
        <f t="shared" si="8"/>
        <v>111</v>
      </c>
      <c r="R47" s="1554" t="s">
        <v>8</v>
      </c>
      <c r="S47" s="1555">
        <f t="shared" si="9"/>
        <v>100</v>
      </c>
      <c r="T47" s="1554" t="s">
        <v>8</v>
      </c>
      <c r="U47" s="1555">
        <f t="shared" si="10"/>
        <v>100</v>
      </c>
      <c r="V47" s="1554" t="s">
        <v>8</v>
      </c>
      <c r="W47" s="1555">
        <f t="shared" si="11"/>
        <v>100</v>
      </c>
      <c r="X47" s="1548"/>
      <c r="Y47" s="3640"/>
      <c r="Z47" s="1556">
        <f t="shared" si="12"/>
        <v>111</v>
      </c>
      <c r="AA47" s="1557">
        <f t="shared" si="3"/>
        <v>1</v>
      </c>
      <c r="AB47" s="1557">
        <f t="shared" si="4"/>
        <v>1</v>
      </c>
      <c r="AC47" s="1557">
        <f t="shared" si="5"/>
        <v>1</v>
      </c>
    </row>
    <row r="48" spans="1:29" ht="14.4">
      <c r="A48" s="604" t="s">
        <v>736</v>
      </c>
      <c r="B48" s="883"/>
      <c r="C48" s="2586" t="s">
        <v>1</v>
      </c>
      <c r="D48" s="2587"/>
      <c r="E48" s="2588"/>
      <c r="F48" s="2589"/>
      <c r="G48" s="2590"/>
      <c r="H48" s="2591"/>
      <c r="I48" s="2588"/>
      <c r="J48" s="2591"/>
      <c r="K48" s="1591"/>
      <c r="L48" s="2124"/>
      <c r="M48" s="2114"/>
      <c r="N48" s="2114"/>
      <c r="O48" s="2114"/>
      <c r="P48" s="3560" t="str">
        <f>A48</f>
        <v>成交单价（元/平方米）</v>
      </c>
      <c r="Q48" s="3562"/>
      <c r="R48" s="3639">
        <f>E48</f>
        <v>0</v>
      </c>
      <c r="S48" s="3639"/>
      <c r="T48" s="3639">
        <f>G48</f>
        <v>0</v>
      </c>
      <c r="U48" s="3639"/>
      <c r="V48" s="3639">
        <f>I48</f>
        <v>0</v>
      </c>
      <c r="W48" s="3639"/>
      <c r="X48" s="1540"/>
      <c r="Y48" s="1562"/>
      <c r="Z48" s="1540"/>
      <c r="AA48" s="1540"/>
      <c r="AB48" s="1540"/>
      <c r="AC48" s="1540"/>
    </row>
    <row r="49" spans="1:29" ht="15" thickBot="1">
      <c r="A49" s="612" t="s">
        <v>2756</v>
      </c>
      <c r="B49" s="884"/>
      <c r="C49" s="2592" t="e">
        <f>R50</f>
        <v>#DIV/0!</v>
      </c>
      <c r="D49" s="2593"/>
      <c r="E49" s="2594" t="e">
        <f>R49</f>
        <v>#DIV/0!</v>
      </c>
      <c r="F49" s="2594"/>
      <c r="G49" s="2592" t="e">
        <f>T49</f>
        <v>#DIV/0!</v>
      </c>
      <c r="H49" s="2593"/>
      <c r="I49" s="2594" t="e">
        <f>V49</f>
        <v>#DIV/0!</v>
      </c>
      <c r="J49" s="2593"/>
      <c r="K49" s="1592"/>
      <c r="L49" s="2124"/>
      <c r="M49" s="2114"/>
      <c r="N49" s="2114"/>
      <c r="O49" s="2114"/>
      <c r="P49" s="3560" t="str">
        <f>A49</f>
        <v>比较价格（元/平方米）</v>
      </c>
      <c r="Q49" s="3562"/>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540"/>
      <c r="Y49" s="1540"/>
      <c r="Z49" s="1540"/>
      <c r="AA49" s="1540"/>
      <c r="AB49" s="1540"/>
      <c r="AC49" s="1540"/>
    </row>
    <row r="50" spans="1:29" ht="15" thickBot="1">
      <c r="A50" s="618" t="s">
        <v>2928</v>
      </c>
      <c r="B50" s="619"/>
      <c r="C50" s="2595" t="e">
        <f>R50</f>
        <v>#DIV/0!</v>
      </c>
      <c r="D50" s="2595"/>
      <c r="E50" s="2595"/>
      <c r="F50" s="2595"/>
      <c r="G50" s="2595"/>
      <c r="H50" s="2595"/>
      <c r="I50" s="2595"/>
      <c r="J50" s="2595"/>
      <c r="K50" s="1593"/>
      <c r="L50" s="2124"/>
      <c r="M50" s="2114"/>
      <c r="N50" s="2114"/>
      <c r="O50" s="2114"/>
      <c r="P50" s="3684" t="str">
        <f>A50</f>
        <v>估价对象XX用房的比较价格（楼面单价，元/平方米）</v>
      </c>
      <c r="Q50" s="3560"/>
      <c r="R50" s="3638" t="e">
        <f>IF(F1="售价",ROUND(AVERAGE(R49:V49),0),ROUND(AVERAGE(R49:V49),1))</f>
        <v>#DIV/0!</v>
      </c>
      <c r="S50" s="3638"/>
      <c r="T50" s="3638"/>
      <c r="U50" s="3638"/>
      <c r="V50" s="3638"/>
      <c r="W50" s="3638"/>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2.2"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9" customFormat="1" ht="14.4">
      <c r="A59" s="642" t="s">
        <v>529</v>
      </c>
      <c r="B59" s="643"/>
      <c r="C59" s="2752" t="str">
        <f>YEAR(C7)&amp;"-"&amp;MONTH(C7)</f>
        <v>2020-7</v>
      </c>
      <c r="D59" s="2754">
        <f>EDATE(C59,-1)</f>
        <v>43983</v>
      </c>
      <c r="E59" s="2754">
        <f t="shared" ref="E59:O59" si="13">EDATE(D59,-1)</f>
        <v>43952</v>
      </c>
      <c r="F59" s="2754">
        <f t="shared" si="13"/>
        <v>43922</v>
      </c>
      <c r="G59" s="2754">
        <f t="shared" si="13"/>
        <v>43891</v>
      </c>
      <c r="H59" s="2754">
        <f t="shared" si="13"/>
        <v>43862</v>
      </c>
      <c r="I59" s="2754">
        <f t="shared" si="13"/>
        <v>43831</v>
      </c>
      <c r="J59" s="2754">
        <f t="shared" si="13"/>
        <v>43800</v>
      </c>
      <c r="K59" s="2754">
        <f t="shared" si="13"/>
        <v>43770</v>
      </c>
      <c r="L59" s="2754">
        <f t="shared" si="13"/>
        <v>43739</v>
      </c>
      <c r="M59" s="2754">
        <f t="shared" si="13"/>
        <v>43709</v>
      </c>
      <c r="N59" s="2754">
        <f t="shared" si="13"/>
        <v>43678</v>
      </c>
      <c r="O59" s="2754">
        <f t="shared" si="13"/>
        <v>43647</v>
      </c>
      <c r="P59" s="2191"/>
      <c r="Q59" s="2141"/>
      <c r="R59" s="2141"/>
      <c r="S59" s="2141"/>
      <c r="T59" s="2141"/>
      <c r="U59" s="2141"/>
      <c r="V59" s="2141"/>
      <c r="W59" s="2141"/>
      <c r="X59" s="2141"/>
      <c r="Y59" s="2141"/>
      <c r="Z59" s="2141"/>
      <c r="AA59" s="2141"/>
      <c r="AB59" s="2141"/>
      <c r="AC59" s="2141"/>
    </row>
    <row r="60" spans="1:29" s="1212" customFormat="1">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4.4">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4.4"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ht="14.4">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4.4"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 thickTop="1">
      <c r="A68" s="666"/>
      <c r="B68" s="678" t="s">
        <v>538</v>
      </c>
      <c r="C68" s="679" t="str">
        <f>C69&amp;"（含）"&amp;"-"&amp;D69</f>
        <v>（含）-</v>
      </c>
      <c r="D68" s="679" t="str">
        <f t="shared" ref="D68:L68" si="14">D69&amp;"（含）"&amp;"-"&amp;E69</f>
        <v>（含）-</v>
      </c>
      <c r="E68" s="679" t="str">
        <f t="shared" si="14"/>
        <v>（含）-</v>
      </c>
      <c r="F68" s="679" t="str">
        <f t="shared" si="14"/>
        <v>（含）-</v>
      </c>
      <c r="G68" s="679" t="str">
        <f t="shared" si="14"/>
        <v>（含）-</v>
      </c>
      <c r="H68" s="679" t="str">
        <f t="shared" si="14"/>
        <v>（含）-</v>
      </c>
      <c r="I68" s="679" t="str">
        <f t="shared" si="14"/>
        <v>（含）-</v>
      </c>
      <c r="J68" s="679" t="str">
        <f t="shared" si="14"/>
        <v>（含）-</v>
      </c>
      <c r="K68" s="679" t="str">
        <f t="shared" si="14"/>
        <v>（含）-</v>
      </c>
      <c r="L68" s="679" t="str">
        <f t="shared" si="14"/>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4.4" thickBot="1">
      <c r="A70" s="666"/>
      <c r="B70" s="667"/>
      <c r="C70" s="676">
        <v>100</v>
      </c>
      <c r="D70" s="676">
        <f t="shared" ref="D70:M70" si="15">C70-$K11</f>
        <v>100</v>
      </c>
      <c r="E70" s="676">
        <f t="shared" si="15"/>
        <v>100</v>
      </c>
      <c r="F70" s="676">
        <f t="shared" si="15"/>
        <v>100</v>
      </c>
      <c r="G70" s="676">
        <f t="shared" si="15"/>
        <v>100</v>
      </c>
      <c r="H70" s="676">
        <f t="shared" si="15"/>
        <v>100</v>
      </c>
      <c r="I70" s="676">
        <f t="shared" si="15"/>
        <v>100</v>
      </c>
      <c r="J70" s="676">
        <f t="shared" si="15"/>
        <v>100</v>
      </c>
      <c r="K70" s="676">
        <f t="shared" si="15"/>
        <v>100</v>
      </c>
      <c r="L70" s="676">
        <f t="shared" si="15"/>
        <v>100</v>
      </c>
      <c r="M70" s="677">
        <f t="shared" si="15"/>
        <v>100</v>
      </c>
      <c r="N70" s="2146"/>
      <c r="O70" s="2146"/>
      <c r="P70" s="2194"/>
      <c r="Q70" s="2138"/>
      <c r="R70" s="2125"/>
      <c r="S70" s="2125"/>
      <c r="T70" s="2125"/>
      <c r="U70" s="2125"/>
      <c r="V70" s="2125"/>
      <c r="W70" s="2125"/>
      <c r="X70" s="2125"/>
      <c r="Y70" s="2125"/>
      <c r="Z70" s="2125"/>
      <c r="AA70" s="2125"/>
      <c r="AB70" s="2125"/>
      <c r="AC70" s="2125"/>
    </row>
    <row r="71" spans="1:29" s="1331" customFormat="1" ht="14.4"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4.4"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4.4"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4.4"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4.4"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4.4"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ht="14.4">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 thickTop="1">
      <c r="A81" s="666"/>
      <c r="B81" s="1876" t="s">
        <v>2554</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 thickTop="1">
      <c r="A83" s="666"/>
      <c r="B83" s="2556" t="s">
        <v>2555</v>
      </c>
      <c r="C83" s="2557" t="s">
        <v>2556</v>
      </c>
      <c r="D83" s="2557" t="s">
        <v>2557</v>
      </c>
      <c r="E83" s="2557" t="s">
        <v>2558</v>
      </c>
      <c r="F83" s="2557" t="s">
        <v>2559</v>
      </c>
      <c r="G83" s="2557" t="s">
        <v>2560</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9.4"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4.4" thickBot="1">
      <c r="A88" s="706"/>
      <c r="B88" s="675"/>
      <c r="C88" s="709">
        <v>100</v>
      </c>
      <c r="D88" s="676">
        <f t="shared" ref="D88:M88" si="16">C88-$K25</f>
        <v>100</v>
      </c>
      <c r="E88" s="676">
        <f t="shared" si="16"/>
        <v>100</v>
      </c>
      <c r="F88" s="676">
        <f t="shared" si="16"/>
        <v>100</v>
      </c>
      <c r="G88" s="676">
        <f t="shared" si="16"/>
        <v>100</v>
      </c>
      <c r="H88" s="676">
        <f t="shared" si="16"/>
        <v>100</v>
      </c>
      <c r="I88" s="676">
        <f t="shared" si="16"/>
        <v>100</v>
      </c>
      <c r="J88" s="676">
        <f t="shared" si="16"/>
        <v>100</v>
      </c>
      <c r="K88" s="676">
        <f t="shared" si="16"/>
        <v>100</v>
      </c>
      <c r="L88" s="676">
        <f t="shared" si="16"/>
        <v>100</v>
      </c>
      <c r="M88" s="676">
        <f t="shared" si="16"/>
        <v>100</v>
      </c>
      <c r="N88" s="2146"/>
      <c r="O88" s="2146"/>
      <c r="P88" s="2194"/>
      <c r="Q88" s="2138"/>
      <c r="R88" s="1973"/>
      <c r="S88" s="1973"/>
      <c r="T88" s="1973"/>
      <c r="U88" s="1973"/>
      <c r="V88" s="1973"/>
      <c r="W88" s="1973"/>
      <c r="X88" s="1973"/>
      <c r="Y88" s="1973"/>
      <c r="Z88" s="1973"/>
      <c r="AA88" s="1973"/>
      <c r="AB88" s="1973"/>
      <c r="AC88" s="1973"/>
    </row>
    <row r="89" spans="1:29" s="1212" customFormat="1" ht="14.4"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C90-$K27</f>
        <v>100</v>
      </c>
      <c r="E90" s="676">
        <f t="shared" ref="E90:M90" si="17">D90-$K27</f>
        <v>100</v>
      </c>
      <c r="F90" s="676">
        <f t="shared" si="17"/>
        <v>100</v>
      </c>
      <c r="G90" s="676">
        <f t="shared" si="17"/>
        <v>100</v>
      </c>
      <c r="H90" s="676">
        <f t="shared" si="17"/>
        <v>100</v>
      </c>
      <c r="I90" s="676">
        <f t="shared" si="17"/>
        <v>100</v>
      </c>
      <c r="J90" s="676">
        <f t="shared" si="17"/>
        <v>100</v>
      </c>
      <c r="K90" s="676">
        <f t="shared" si="17"/>
        <v>100</v>
      </c>
      <c r="L90" s="676">
        <f t="shared" si="17"/>
        <v>100</v>
      </c>
      <c r="M90" s="676">
        <f t="shared" si="17"/>
        <v>100</v>
      </c>
      <c r="N90" s="2146"/>
      <c r="O90" s="2146"/>
      <c r="P90" s="2194"/>
      <c r="Q90" s="2138"/>
      <c r="R90" s="1973"/>
      <c r="S90" s="1973"/>
      <c r="T90" s="1973"/>
      <c r="U90" s="1973"/>
      <c r="V90" s="1973"/>
      <c r="W90" s="1973"/>
      <c r="X90" s="1973"/>
      <c r="Y90" s="1973"/>
      <c r="Z90" s="1973"/>
      <c r="AA90" s="1973"/>
      <c r="AB90" s="1973"/>
      <c r="AC90" s="1973"/>
    </row>
    <row r="91" spans="1:29" s="1331" customFormat="1" ht="14.4"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4.4" thickBot="1">
      <c r="A92" s="684"/>
      <c r="B92" s="675"/>
      <c r="C92" s="709">
        <v>100</v>
      </c>
      <c r="D92" s="676">
        <f t="shared" ref="D92:M92" si="18">C92-$K28</f>
        <v>100</v>
      </c>
      <c r="E92" s="676">
        <f t="shared" si="18"/>
        <v>100</v>
      </c>
      <c r="F92" s="676">
        <f t="shared" si="18"/>
        <v>100</v>
      </c>
      <c r="G92" s="676">
        <f t="shared" si="18"/>
        <v>100</v>
      </c>
      <c r="H92" s="676">
        <f t="shared" si="18"/>
        <v>100</v>
      </c>
      <c r="I92" s="676">
        <f t="shared" si="18"/>
        <v>100</v>
      </c>
      <c r="J92" s="676">
        <f t="shared" si="18"/>
        <v>100</v>
      </c>
      <c r="K92" s="676">
        <f t="shared" si="18"/>
        <v>100</v>
      </c>
      <c r="L92" s="676">
        <f t="shared" si="18"/>
        <v>100</v>
      </c>
      <c r="M92" s="676">
        <f t="shared" si="18"/>
        <v>100</v>
      </c>
      <c r="N92" s="2147"/>
      <c r="O92" s="2147"/>
      <c r="P92" s="2195"/>
      <c r="Q92" s="2149"/>
      <c r="R92" s="2150"/>
      <c r="S92" s="2150"/>
      <c r="T92" s="2150"/>
      <c r="U92" s="2150"/>
      <c r="V92" s="2150"/>
      <c r="W92" s="2150"/>
      <c r="X92" s="2150"/>
      <c r="Y92" s="2150"/>
      <c r="Z92" s="2150"/>
      <c r="AA92" s="2150"/>
      <c r="AB92" s="2150"/>
      <c r="AC92" s="2150"/>
    </row>
    <row r="93" spans="1:29" ht="14.4"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4.4"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4.4"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4.4"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4.4"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4.4"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4.4"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ht="14.4">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19">C102-$K33</f>
        <v>100</v>
      </c>
      <c r="E102" s="676">
        <f t="shared" si="19"/>
        <v>100</v>
      </c>
      <c r="F102" s="676">
        <f t="shared" si="19"/>
        <v>100</v>
      </c>
      <c r="G102" s="676">
        <f t="shared" si="19"/>
        <v>100</v>
      </c>
      <c r="H102" s="676">
        <f t="shared" si="19"/>
        <v>100</v>
      </c>
      <c r="I102" s="676">
        <f t="shared" si="19"/>
        <v>100</v>
      </c>
      <c r="J102" s="676">
        <f t="shared" si="19"/>
        <v>100</v>
      </c>
      <c r="K102" s="676">
        <f t="shared" si="19"/>
        <v>100</v>
      </c>
      <c r="L102" s="676">
        <f t="shared" si="19"/>
        <v>100</v>
      </c>
      <c r="M102" s="677">
        <f t="shared" si="19"/>
        <v>100</v>
      </c>
      <c r="N102" s="2146"/>
      <c r="O102" s="2146"/>
      <c r="P102" s="2194"/>
      <c r="Q102" s="2138"/>
      <c r="R102" s="2125"/>
      <c r="S102" s="2125"/>
      <c r="T102" s="2125"/>
      <c r="U102" s="2125"/>
      <c r="V102" s="2125"/>
      <c r="W102" s="2125"/>
      <c r="X102" s="2125"/>
      <c r="Y102" s="2125"/>
      <c r="Z102" s="2125"/>
      <c r="AA102" s="2125"/>
      <c r="AB102" s="2125"/>
      <c r="AC102" s="2125"/>
    </row>
    <row r="103" spans="1:29" ht="15" thickTop="1">
      <c r="A103" s="666"/>
      <c r="B103" s="670" t="s">
        <v>748</v>
      </c>
      <c r="C103" s="705" t="str">
        <f>C104&amp;"(含)"&amp;"-"&amp;D104</f>
        <v>(含)-</v>
      </c>
      <c r="D103" s="705" t="str">
        <f t="shared" ref="D103:L103" si="20">D104&amp;"(含)"&amp;"-"&amp;E104</f>
        <v>(含)-</v>
      </c>
      <c r="E103" s="705" t="str">
        <f t="shared" si="20"/>
        <v>(含)-</v>
      </c>
      <c r="F103" s="705" t="str">
        <f t="shared" si="20"/>
        <v>(含)-</v>
      </c>
      <c r="G103" s="705" t="str">
        <f t="shared" si="20"/>
        <v>(含)-</v>
      </c>
      <c r="H103" s="705" t="str">
        <f t="shared" si="20"/>
        <v>(含)-</v>
      </c>
      <c r="I103" s="705" t="str">
        <f t="shared" si="20"/>
        <v>(含)-</v>
      </c>
      <c r="J103" s="705" t="str">
        <f t="shared" si="20"/>
        <v>(含)-</v>
      </c>
      <c r="K103" s="705" t="str">
        <f t="shared" si="20"/>
        <v>(含)-</v>
      </c>
      <c r="L103" s="705" t="str">
        <f t="shared" si="20"/>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4.4"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 t="shared" ref="D107:M107" si="21">C107-$K35</f>
        <v>100</v>
      </c>
      <c r="E107" s="676">
        <f t="shared" si="21"/>
        <v>100</v>
      </c>
      <c r="F107" s="676">
        <f t="shared" si="21"/>
        <v>100</v>
      </c>
      <c r="G107" s="676">
        <f t="shared" si="21"/>
        <v>100</v>
      </c>
      <c r="H107" s="676">
        <f t="shared" si="21"/>
        <v>100</v>
      </c>
      <c r="I107" s="676">
        <f t="shared" si="21"/>
        <v>100</v>
      </c>
      <c r="J107" s="676">
        <f t="shared" si="21"/>
        <v>100</v>
      </c>
      <c r="K107" s="676">
        <f t="shared" si="21"/>
        <v>100</v>
      </c>
      <c r="L107" s="676">
        <f t="shared" si="21"/>
        <v>100</v>
      </c>
      <c r="M107" s="677">
        <f t="shared" si="21"/>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 t="shared" ref="D109:M109" si="22">C109-$K36</f>
        <v>100</v>
      </c>
      <c r="E109" s="676">
        <f t="shared" si="22"/>
        <v>100</v>
      </c>
      <c r="F109" s="676">
        <f t="shared" si="22"/>
        <v>100</v>
      </c>
      <c r="G109" s="676">
        <f t="shared" si="22"/>
        <v>100</v>
      </c>
      <c r="H109" s="676">
        <f t="shared" si="22"/>
        <v>100</v>
      </c>
      <c r="I109" s="676">
        <f t="shared" si="22"/>
        <v>100</v>
      </c>
      <c r="J109" s="676">
        <f t="shared" si="22"/>
        <v>100</v>
      </c>
      <c r="K109" s="676">
        <f t="shared" si="22"/>
        <v>100</v>
      </c>
      <c r="L109" s="676">
        <f t="shared" si="22"/>
        <v>100</v>
      </c>
      <c r="M109" s="677">
        <f t="shared" si="22"/>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4.4" thickBot="1">
      <c r="A112" s="666"/>
      <c r="B112" s="675"/>
      <c r="C112" s="709">
        <v>100</v>
      </c>
      <c r="D112" s="676">
        <f>C112+$K37</f>
        <v>100</v>
      </c>
      <c r="E112" s="676">
        <f t="shared" ref="E112:M112" si="23">D112+$K37</f>
        <v>100</v>
      </c>
      <c r="F112" s="676">
        <f t="shared" si="23"/>
        <v>100</v>
      </c>
      <c r="G112" s="676">
        <f t="shared" si="23"/>
        <v>100</v>
      </c>
      <c r="H112" s="676">
        <f t="shared" si="23"/>
        <v>100</v>
      </c>
      <c r="I112" s="676">
        <f t="shared" si="23"/>
        <v>100</v>
      </c>
      <c r="J112" s="676">
        <f t="shared" si="23"/>
        <v>100</v>
      </c>
      <c r="K112" s="676">
        <f t="shared" si="23"/>
        <v>100</v>
      </c>
      <c r="L112" s="676">
        <f t="shared" si="23"/>
        <v>100</v>
      </c>
      <c r="M112" s="676">
        <f t="shared" si="23"/>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4.4" thickBot="1">
      <c r="A114" s="684"/>
      <c r="B114" s="675"/>
      <c r="C114" s="676">
        <v>100</v>
      </c>
      <c r="D114" s="676">
        <f>C114-$K38</f>
        <v>100</v>
      </c>
      <c r="E114" s="676">
        <f t="shared" ref="E114:M114" si="24">D114-$K38</f>
        <v>100</v>
      </c>
      <c r="F114" s="676">
        <f t="shared" si="24"/>
        <v>100</v>
      </c>
      <c r="G114" s="676">
        <f t="shared" si="24"/>
        <v>100</v>
      </c>
      <c r="H114" s="676">
        <f t="shared" si="24"/>
        <v>100</v>
      </c>
      <c r="I114" s="676">
        <f t="shared" si="24"/>
        <v>100</v>
      </c>
      <c r="J114" s="676">
        <f t="shared" si="24"/>
        <v>100</v>
      </c>
      <c r="K114" s="676">
        <f t="shared" si="24"/>
        <v>100</v>
      </c>
      <c r="L114" s="676">
        <f t="shared" si="24"/>
        <v>100</v>
      </c>
      <c r="M114" s="676">
        <f t="shared" si="24"/>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4.4" thickBot="1">
      <c r="A116" s="666"/>
      <c r="B116" s="675"/>
      <c r="C116" s="676">
        <v>100</v>
      </c>
      <c r="D116" s="676">
        <f t="shared" ref="D116:M116" si="25">C116-$K39</f>
        <v>100</v>
      </c>
      <c r="E116" s="676">
        <f t="shared" si="25"/>
        <v>100</v>
      </c>
      <c r="F116" s="676">
        <f t="shared" si="25"/>
        <v>100</v>
      </c>
      <c r="G116" s="676">
        <f t="shared" si="25"/>
        <v>100</v>
      </c>
      <c r="H116" s="676">
        <f t="shared" si="25"/>
        <v>100</v>
      </c>
      <c r="I116" s="676">
        <f t="shared" si="25"/>
        <v>100</v>
      </c>
      <c r="J116" s="676">
        <f t="shared" si="25"/>
        <v>100</v>
      </c>
      <c r="K116" s="676">
        <f t="shared" si="25"/>
        <v>100</v>
      </c>
      <c r="L116" s="676">
        <f t="shared" si="25"/>
        <v>100</v>
      </c>
      <c r="M116" s="677">
        <f t="shared" si="25"/>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2553</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4.4" thickBot="1">
      <c r="A120" s="666"/>
      <c r="B120" s="675"/>
      <c r="C120" s="709">
        <v>100</v>
      </c>
      <c r="D120" s="676">
        <f>C120-$K41</f>
        <v>100</v>
      </c>
      <c r="E120" s="676">
        <f t="shared" ref="E120:M120" si="26">D120-$K41</f>
        <v>100</v>
      </c>
      <c r="F120" s="676">
        <f t="shared" si="26"/>
        <v>100</v>
      </c>
      <c r="G120" s="676">
        <f t="shared" si="26"/>
        <v>100</v>
      </c>
      <c r="H120" s="676">
        <f t="shared" si="26"/>
        <v>100</v>
      </c>
      <c r="I120" s="676">
        <f t="shared" si="26"/>
        <v>100</v>
      </c>
      <c r="J120" s="676">
        <f t="shared" si="26"/>
        <v>100</v>
      </c>
      <c r="K120" s="676">
        <f t="shared" si="26"/>
        <v>100</v>
      </c>
      <c r="L120" s="676">
        <f t="shared" si="26"/>
        <v>100</v>
      </c>
      <c r="M120" s="676">
        <f t="shared" si="26"/>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4.4"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27">C124-$K43</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6"/>
      <c r="O124" s="2146"/>
      <c r="P124" s="2194"/>
      <c r="Q124" s="2138"/>
      <c r="R124" s="2125"/>
      <c r="S124" s="2125"/>
      <c r="T124" s="2125"/>
      <c r="U124" s="2125"/>
      <c r="V124" s="2125"/>
      <c r="W124" s="2125"/>
      <c r="X124" s="2125"/>
      <c r="Y124" s="2125"/>
      <c r="Z124" s="2125"/>
      <c r="AA124" s="2125"/>
      <c r="AB124" s="2125"/>
      <c r="AC124" s="2125"/>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4.4"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4.4"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4.4"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4.4"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4.4"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788</v>
      </c>
      <c r="C1" s="501" t="s">
        <v>720</v>
      </c>
      <c r="D1" s="846"/>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521</v>
      </c>
      <c r="B4" s="510"/>
      <c r="C4" s="3568" t="s">
        <v>522</v>
      </c>
      <c r="D4" s="3569"/>
      <c r="E4" s="3603" t="s">
        <v>523</v>
      </c>
      <c r="F4" s="3604"/>
      <c r="G4" s="3568" t="s">
        <v>524</v>
      </c>
      <c r="H4" s="3569"/>
      <c r="I4" s="3568" t="s">
        <v>525</v>
      </c>
      <c r="J4" s="3569"/>
      <c r="K4" s="511" t="s">
        <v>526</v>
      </c>
      <c r="L4" s="2113"/>
      <c r="M4" s="2114"/>
      <c r="N4" s="2114"/>
      <c r="O4" s="2114"/>
      <c r="P4" s="3570" t="s">
        <v>527</v>
      </c>
      <c r="Q4" s="3571"/>
      <c r="R4" s="3576" t="s">
        <v>523</v>
      </c>
      <c r="S4" s="3577"/>
      <c r="T4" s="3576" t="s">
        <v>524</v>
      </c>
      <c r="U4" s="3577"/>
      <c r="V4" s="3563" t="s">
        <v>525</v>
      </c>
      <c r="W4" s="3563"/>
      <c r="X4" s="1548"/>
      <c r="Y4" s="3576" t="s">
        <v>527</v>
      </c>
      <c r="Z4" s="3577"/>
      <c r="AA4" s="3565" t="s">
        <v>523</v>
      </c>
      <c r="AB4" s="3566" t="s">
        <v>524</v>
      </c>
      <c r="AC4" s="3565" t="s">
        <v>525</v>
      </c>
    </row>
    <row r="5" spans="1:29">
      <c r="A5" s="512"/>
      <c r="B5" s="513"/>
      <c r="C5" s="3584" t="s">
        <v>2922</v>
      </c>
      <c r="D5" s="3585"/>
      <c r="E5" s="3605" t="s">
        <v>2923</v>
      </c>
      <c r="F5" s="3606"/>
      <c r="G5" s="3584" t="s">
        <v>2924</v>
      </c>
      <c r="H5" s="3585"/>
      <c r="I5" s="3584" t="s">
        <v>2925</v>
      </c>
      <c r="J5" s="3585"/>
      <c r="K5" s="511"/>
      <c r="L5" s="2113"/>
      <c r="M5" s="2114"/>
      <c r="N5" s="2114"/>
      <c r="O5" s="2114"/>
      <c r="P5" s="3572"/>
      <c r="Q5" s="3573"/>
      <c r="R5" s="3578"/>
      <c r="S5" s="3579"/>
      <c r="T5" s="3578"/>
      <c r="U5" s="3579"/>
      <c r="V5" s="3563"/>
      <c r="W5" s="3563"/>
      <c r="X5" s="1548"/>
      <c r="Y5" s="3578"/>
      <c r="Z5" s="3579"/>
      <c r="AA5" s="3566"/>
      <c r="AB5" s="3566"/>
      <c r="AC5" s="3566"/>
    </row>
    <row r="6" spans="1:29" ht="15" thickBot="1">
      <c r="A6" s="514"/>
      <c r="B6" s="515"/>
      <c r="C6" s="3582" t="s">
        <v>2926</v>
      </c>
      <c r="D6" s="3583"/>
      <c r="E6" s="3601" t="s">
        <v>2926</v>
      </c>
      <c r="F6" s="3602"/>
      <c r="G6" s="3582" t="s">
        <v>2926</v>
      </c>
      <c r="H6" s="3583"/>
      <c r="I6" s="3582" t="s">
        <v>2926</v>
      </c>
      <c r="J6" s="3583"/>
      <c r="K6" s="511" t="s">
        <v>528</v>
      </c>
      <c r="L6" s="2113"/>
      <c r="M6" s="2114"/>
      <c r="N6" s="2114"/>
      <c r="O6" s="2114"/>
      <c r="P6" s="3574"/>
      <c r="Q6" s="3575"/>
      <c r="R6" s="3578"/>
      <c r="S6" s="3579"/>
      <c r="T6" s="3580"/>
      <c r="U6" s="3581"/>
      <c r="V6" s="3563"/>
      <c r="W6" s="3563"/>
      <c r="X6" s="1548"/>
      <c r="Y6" s="3580"/>
      <c r="Z6" s="3581"/>
      <c r="AA6" s="3567"/>
      <c r="AB6" s="3567"/>
      <c r="AC6" s="3567"/>
    </row>
    <row r="7" spans="1:29" s="1212" customFormat="1" ht="15" thickBot="1">
      <c r="A7" s="2861"/>
      <c r="B7" s="2868" t="s">
        <v>529</v>
      </c>
      <c r="C7" s="516">
        <f>'数据-取费表'!B2</f>
        <v>44027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594" t="s">
        <v>530</v>
      </c>
      <c r="Q7" s="3596"/>
      <c r="R7" s="1549" t="s">
        <v>8</v>
      </c>
      <c r="S7" s="1550">
        <f t="shared" ref="S7:S15" si="0">F7</f>
        <v>0</v>
      </c>
      <c r="T7" s="1549" t="s">
        <v>8</v>
      </c>
      <c r="U7" s="1550">
        <f t="shared" ref="U7:U15" si="1">H7</f>
        <v>0</v>
      </c>
      <c r="V7" s="1549" t="s">
        <v>8</v>
      </c>
      <c r="W7" s="1550">
        <f t="shared" ref="W7:W15"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594" t="s">
        <v>533</v>
      </c>
      <c r="Q8" s="3595"/>
      <c r="R8" s="1549" t="s">
        <v>8</v>
      </c>
      <c r="S8" s="1550">
        <f t="shared" si="0"/>
        <v>0</v>
      </c>
      <c r="T8" s="1549" t="s">
        <v>8</v>
      </c>
      <c r="U8" s="1550">
        <f t="shared" si="1"/>
        <v>0</v>
      </c>
      <c r="V8" s="1549" t="s">
        <v>8</v>
      </c>
      <c r="W8" s="1550">
        <f t="shared" si="2"/>
        <v>0</v>
      </c>
      <c r="X8" s="1551"/>
      <c r="Y8" s="3594" t="s">
        <v>533</v>
      </c>
      <c r="Z8" s="3595"/>
      <c r="AA8" s="1552" t="e">
        <f t="shared" ref="AA8:AA40" si="3">D8/F8</f>
        <v>#DIV/0!</v>
      </c>
      <c r="AB8" s="1552" t="e">
        <f t="shared" ref="AB8:AB40" si="4">D8/H8</f>
        <v>#DIV/0!</v>
      </c>
      <c r="AC8" s="1552" t="e">
        <f t="shared" ref="AC8:AC40" si="5">D8/J8</f>
        <v>#DIV/0!</v>
      </c>
    </row>
    <row r="9" spans="1:29" s="1212" customFormat="1" ht="14.4">
      <c r="A9" s="2863"/>
      <c r="B9" s="2870" t="s">
        <v>2752</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562" t="s">
        <v>535</v>
      </c>
      <c r="Q9" s="1143" t="str">
        <f t="shared" ref="Q9:Q15" si="6">B9</f>
        <v>用途</v>
      </c>
      <c r="R9" s="1549" t="s">
        <v>8</v>
      </c>
      <c r="S9" s="1550">
        <f t="shared" si="0"/>
        <v>100</v>
      </c>
      <c r="T9" s="1549" t="s">
        <v>8</v>
      </c>
      <c r="U9" s="1550">
        <f t="shared" si="1"/>
        <v>100</v>
      </c>
      <c r="V9" s="1549" t="s">
        <v>8</v>
      </c>
      <c r="W9" s="1550">
        <f t="shared" si="2"/>
        <v>100</v>
      </c>
      <c r="X9" s="1551"/>
      <c r="Y9" s="3504"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562"/>
      <c r="Q11" s="1143" t="str">
        <f t="shared" si="6"/>
        <v>容积率</v>
      </c>
      <c r="R11" s="1549" t="s">
        <v>8</v>
      </c>
      <c r="S11" s="1550" t="e">
        <f t="shared" si="0"/>
        <v>#N/A</v>
      </c>
      <c r="T11" s="1549" t="s">
        <v>8</v>
      </c>
      <c r="U11" s="1550" t="e">
        <f t="shared" si="1"/>
        <v>#N/A</v>
      </c>
      <c r="V11" s="1549" t="s">
        <v>8</v>
      </c>
      <c r="W11" s="1550" t="e">
        <f t="shared" si="2"/>
        <v>#N/A</v>
      </c>
      <c r="X11" s="1551"/>
      <c r="Y11" s="3504"/>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562"/>
      <c r="Q12" s="1143">
        <f t="shared" si="6"/>
        <v>111</v>
      </c>
      <c r="R12" s="1549" t="s">
        <v>8</v>
      </c>
      <c r="S12" s="1550">
        <f t="shared" si="0"/>
        <v>100</v>
      </c>
      <c r="T12" s="1549" t="s">
        <v>8</v>
      </c>
      <c r="U12" s="1550">
        <f t="shared" si="1"/>
        <v>100</v>
      </c>
      <c r="V12" s="1549" t="s">
        <v>8</v>
      </c>
      <c r="W12" s="1550">
        <f t="shared" si="2"/>
        <v>100</v>
      </c>
      <c r="X12" s="1551"/>
      <c r="Y12" s="3504"/>
      <c r="Z12" s="1142">
        <f t="shared" si="7"/>
        <v>111</v>
      </c>
      <c r="AA12" s="1552">
        <f>D12/F12</f>
        <v>1</v>
      </c>
      <c r="AB12" s="1552">
        <f>D12/H12</f>
        <v>1</v>
      </c>
      <c r="AC12" s="1552">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562"/>
      <c r="Q13" s="1143">
        <f t="shared" si="6"/>
        <v>111</v>
      </c>
      <c r="R13" s="1549" t="s">
        <v>8</v>
      </c>
      <c r="S13" s="1550">
        <f t="shared" si="0"/>
        <v>100</v>
      </c>
      <c r="T13" s="1549" t="s">
        <v>8</v>
      </c>
      <c r="U13" s="1550">
        <f t="shared" si="1"/>
        <v>100</v>
      </c>
      <c r="V13" s="1549" t="s">
        <v>8</v>
      </c>
      <c r="W13" s="1550">
        <f t="shared" si="2"/>
        <v>100</v>
      </c>
      <c r="X13" s="1551"/>
      <c r="Y13" s="3504"/>
      <c r="Z13" s="1142">
        <f t="shared" si="7"/>
        <v>111</v>
      </c>
      <c r="AA13" s="1552">
        <f t="shared" si="3"/>
        <v>1</v>
      </c>
      <c r="AB13" s="1552">
        <f t="shared" si="4"/>
        <v>1</v>
      </c>
      <c r="AC13" s="1552">
        <f t="shared" si="5"/>
        <v>1</v>
      </c>
    </row>
    <row r="14" spans="1:29" ht="15.6"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562"/>
      <c r="Q14" s="1143">
        <f t="shared" si="6"/>
        <v>111</v>
      </c>
      <c r="R14" s="1549" t="s">
        <v>8</v>
      </c>
      <c r="S14" s="1550">
        <f t="shared" si="0"/>
        <v>100</v>
      </c>
      <c r="T14" s="1549" t="s">
        <v>8</v>
      </c>
      <c r="U14" s="1550">
        <f t="shared" si="1"/>
        <v>100</v>
      </c>
      <c r="V14" s="1549" t="s">
        <v>8</v>
      </c>
      <c r="W14" s="1550">
        <f t="shared" si="2"/>
        <v>100</v>
      </c>
      <c r="X14" s="1551"/>
      <c r="Y14" s="3504"/>
      <c r="Z14" s="1142">
        <f t="shared" si="7"/>
        <v>111</v>
      </c>
      <c r="AA14" s="1552">
        <f t="shared" si="3"/>
        <v>1</v>
      </c>
      <c r="AB14" s="1552">
        <f t="shared" si="4"/>
        <v>1</v>
      </c>
      <c r="AC14" s="1552">
        <f t="shared" si="5"/>
        <v>1</v>
      </c>
    </row>
    <row r="15" spans="1:29" ht="69">
      <c r="A15" s="2859"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597" t="s">
        <v>540</v>
      </c>
      <c r="Q15" s="1553" t="str">
        <f t="shared" si="6"/>
        <v>产业集聚程度</v>
      </c>
      <c r="R15" s="1554" t="s">
        <v>8</v>
      </c>
      <c r="S15" s="1555">
        <f t="shared" si="0"/>
        <v>100</v>
      </c>
      <c r="T15" s="1554" t="s">
        <v>8</v>
      </c>
      <c r="U15" s="1555">
        <f t="shared" si="1"/>
        <v>100</v>
      </c>
      <c r="V15" s="1554" t="s">
        <v>8</v>
      </c>
      <c r="W15" s="1555">
        <f t="shared" si="2"/>
        <v>100</v>
      </c>
      <c r="X15" s="1548"/>
      <c r="Y15" s="3597"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8"/>
      <c r="Q16" s="1553"/>
      <c r="R16" s="1554"/>
      <c r="S16" s="1555"/>
      <c r="T16" s="1554"/>
      <c r="U16" s="1555"/>
      <c r="V16" s="1554"/>
      <c r="W16" s="1555"/>
      <c r="X16" s="1548"/>
      <c r="Y16" s="3598"/>
      <c r="Z16" s="1556"/>
      <c r="AA16" s="1557">
        <v>1</v>
      </c>
      <c r="AB16" s="1557">
        <v>1</v>
      </c>
      <c r="AC16" s="1557">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598"/>
      <c r="Q17" s="1553" t="str">
        <f>B17</f>
        <v>交通便捷度</v>
      </c>
      <c r="R17" s="1554" t="s">
        <v>8</v>
      </c>
      <c r="S17" s="1555">
        <f>F17</f>
        <v>100</v>
      </c>
      <c r="T17" s="1554" t="s">
        <v>8</v>
      </c>
      <c r="U17" s="1555">
        <f>H17</f>
        <v>100</v>
      </c>
      <c r="V17" s="1554" t="s">
        <v>8</v>
      </c>
      <c r="W17" s="1555">
        <f>J17</f>
        <v>100</v>
      </c>
      <c r="X17" s="1548"/>
      <c r="Y17" s="3598"/>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8"/>
      <c r="Q18" s="1553"/>
      <c r="R18" s="1554"/>
      <c r="S18" s="1555"/>
      <c r="T18" s="1554"/>
      <c r="U18" s="1555"/>
      <c r="V18" s="1554"/>
      <c r="W18" s="1555"/>
      <c r="X18" s="1548"/>
      <c r="Y18" s="3598"/>
      <c r="Z18" s="1556"/>
      <c r="AA18" s="1557">
        <v>1</v>
      </c>
      <c r="AB18" s="1557">
        <v>1</v>
      </c>
      <c r="AC18" s="1557">
        <v>1</v>
      </c>
    </row>
    <row r="19" spans="1:29" ht="41.4">
      <c r="A19" s="529"/>
      <c r="B19" s="2562"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598"/>
      <c r="Q19" s="1553" t="str">
        <f>B19</f>
        <v>公共配套设施</v>
      </c>
      <c r="R19" s="1554" t="s">
        <v>8</v>
      </c>
      <c r="S19" s="1555">
        <f>F19</f>
        <v>100</v>
      </c>
      <c r="T19" s="1554" t="s">
        <v>8</v>
      </c>
      <c r="U19" s="1555">
        <f>H19</f>
        <v>100</v>
      </c>
      <c r="V19" s="1554" t="s">
        <v>8</v>
      </c>
      <c r="W19" s="1555">
        <f>J19</f>
        <v>100</v>
      </c>
      <c r="X19" s="1548"/>
      <c r="Y19" s="3598"/>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2"/>
      <c r="M20" s="2114"/>
      <c r="N20" s="2114"/>
      <c r="O20" s="2121"/>
      <c r="P20" s="3598"/>
      <c r="Q20" s="1553"/>
      <c r="R20" s="1554"/>
      <c r="S20" s="1555"/>
      <c r="T20" s="1554"/>
      <c r="U20" s="1555"/>
      <c r="V20" s="1554"/>
      <c r="W20" s="1555"/>
      <c r="X20" s="1548"/>
      <c r="Y20" s="3598"/>
      <c r="Z20" s="1556"/>
      <c r="AA20" s="1557">
        <v>1</v>
      </c>
      <c r="AB20" s="1557">
        <v>1</v>
      </c>
      <c r="AC20" s="1557">
        <v>1</v>
      </c>
    </row>
    <row r="21" spans="1:29" ht="41.4">
      <c r="A21" s="529"/>
      <c r="B21" s="2550"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598"/>
      <c r="Q21" s="2538" t="str">
        <f>B21</f>
        <v>基础设施水平</v>
      </c>
      <c r="R21" s="1554" t="s">
        <v>8</v>
      </c>
      <c r="S21" s="1555">
        <f>F21</f>
        <v>100</v>
      </c>
      <c r="T21" s="1554" t="s">
        <v>8</v>
      </c>
      <c r="U21" s="1555">
        <f>H21</f>
        <v>100</v>
      </c>
      <c r="V21" s="1554" t="s">
        <v>8</v>
      </c>
      <c r="W21" s="1555">
        <f>J21</f>
        <v>100</v>
      </c>
      <c r="X21" s="2540"/>
      <c r="Y21" s="3598"/>
      <c r="Z21" s="2539" t="str">
        <f>Q21</f>
        <v>基础设施水平</v>
      </c>
      <c r="AA21" s="1557">
        <f>D21/F21</f>
        <v>1</v>
      </c>
      <c r="AB21" s="1557">
        <f>D21/H21</f>
        <v>1</v>
      </c>
      <c r="AC21" s="1557">
        <f>D21/J21</f>
        <v>1</v>
      </c>
    </row>
    <row r="22" spans="1:29" ht="15">
      <c r="A22" s="529"/>
      <c r="B22" s="575"/>
      <c r="C22" s="870"/>
      <c r="D22" s="552"/>
      <c r="E22" s="573"/>
      <c r="F22" s="554"/>
      <c r="G22" s="573"/>
      <c r="H22" s="552"/>
      <c r="I22" s="573"/>
      <c r="J22" s="552"/>
      <c r="K22" s="2561"/>
      <c r="L22" s="2122"/>
      <c r="M22" s="2114"/>
      <c r="N22" s="2114"/>
      <c r="O22" s="2121"/>
      <c r="P22" s="3598"/>
      <c r="Q22" s="2538"/>
      <c r="R22" s="1554"/>
      <c r="S22" s="1555"/>
      <c r="T22" s="1554"/>
      <c r="U22" s="1555"/>
      <c r="V22" s="1554"/>
      <c r="W22" s="1555"/>
      <c r="X22" s="2540"/>
      <c r="Y22" s="3598"/>
      <c r="Z22" s="2539"/>
      <c r="AA22" s="1557">
        <v>1</v>
      </c>
      <c r="AB22" s="1557">
        <v>1</v>
      </c>
      <c r="AC22" s="1557">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598"/>
      <c r="Q23" s="1553" t="str">
        <f>B23</f>
        <v>环境质量</v>
      </c>
      <c r="R23" s="1554" t="s">
        <v>8</v>
      </c>
      <c r="S23" s="1555">
        <f>F23</f>
        <v>100</v>
      </c>
      <c r="T23" s="1554" t="s">
        <v>8</v>
      </c>
      <c r="U23" s="1555">
        <f>H23</f>
        <v>100</v>
      </c>
      <c r="V23" s="1554" t="s">
        <v>8</v>
      </c>
      <c r="W23" s="1555">
        <f>J23</f>
        <v>100</v>
      </c>
      <c r="X23" s="1548"/>
      <c r="Y23" s="3598"/>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2"/>
      <c r="M24" s="2114"/>
      <c r="N24" s="2114"/>
      <c r="O24" s="2121"/>
      <c r="P24" s="3598"/>
      <c r="Q24" s="1553"/>
      <c r="R24" s="1554"/>
      <c r="S24" s="1555"/>
      <c r="T24" s="1554"/>
      <c r="U24" s="1555"/>
      <c r="V24" s="1554"/>
      <c r="W24" s="1555"/>
      <c r="X24" s="1548"/>
      <c r="Y24" s="3598"/>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598"/>
      <c r="Q25" s="1553">
        <f>B25</f>
        <v>111</v>
      </c>
      <c r="R25" s="1554" t="s">
        <v>8</v>
      </c>
      <c r="S25" s="1555">
        <f>F25</f>
        <v>100</v>
      </c>
      <c r="T25" s="1554" t="s">
        <v>8</v>
      </c>
      <c r="U25" s="1555">
        <f>H25</f>
        <v>100</v>
      </c>
      <c r="V25" s="1554" t="s">
        <v>8</v>
      </c>
      <c r="W25" s="1555">
        <f>J25</f>
        <v>100</v>
      </c>
      <c r="X25" s="1548"/>
      <c r="Y25" s="3598"/>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598"/>
      <c r="Q26" s="1553">
        <f t="shared" ref="Q26:Q40" si="8">B26</f>
        <v>111</v>
      </c>
      <c r="R26" s="1554" t="s">
        <v>8</v>
      </c>
      <c r="S26" s="1555">
        <f>F26</f>
        <v>100</v>
      </c>
      <c r="T26" s="1554" t="s">
        <v>8</v>
      </c>
      <c r="U26" s="1555">
        <f>H26</f>
        <v>100</v>
      </c>
      <c r="V26" s="1554" t="s">
        <v>8</v>
      </c>
      <c r="W26" s="1555">
        <f>J26</f>
        <v>100</v>
      </c>
      <c r="X26" s="1548"/>
      <c r="Y26" s="3598"/>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598"/>
      <c r="Q27" s="1143">
        <f t="shared" si="8"/>
        <v>111</v>
      </c>
      <c r="R27" s="1549" t="s">
        <v>8</v>
      </c>
      <c r="S27" s="1550">
        <f>F27</f>
        <v>100</v>
      </c>
      <c r="T27" s="1549" t="s">
        <v>8</v>
      </c>
      <c r="U27" s="1550">
        <f>H27</f>
        <v>100</v>
      </c>
      <c r="V27" s="1549" t="s">
        <v>8</v>
      </c>
      <c r="W27" s="1550">
        <f>J27</f>
        <v>100</v>
      </c>
      <c r="X27" s="1551"/>
      <c r="Y27" s="3598"/>
      <c r="Z27" s="1142">
        <f>Q27</f>
        <v>111</v>
      </c>
      <c r="AA27" s="1557">
        <f>D27/F27</f>
        <v>1</v>
      </c>
      <c r="AB27" s="1557">
        <f>D27/H27</f>
        <v>1</v>
      </c>
      <c r="AC27" s="1557">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598"/>
      <c r="Q28" s="1553">
        <f t="shared" si="8"/>
        <v>111</v>
      </c>
      <c r="R28" s="1554" t="s">
        <v>8</v>
      </c>
      <c r="S28" s="1555">
        <f t="shared" ref="S28:S40" si="9">F28</f>
        <v>100</v>
      </c>
      <c r="T28" s="1554" t="s">
        <v>8</v>
      </c>
      <c r="U28" s="1555">
        <f t="shared" ref="U28:U40" si="10">H28</f>
        <v>100</v>
      </c>
      <c r="V28" s="1554" t="s">
        <v>8</v>
      </c>
      <c r="W28" s="1555">
        <f t="shared" ref="W28:W40" si="11">J28</f>
        <v>100</v>
      </c>
      <c r="X28" s="1548"/>
      <c r="Y28" s="3598"/>
      <c r="Z28" s="1556">
        <f t="shared" ref="Z28:Z40" si="12">Q28</f>
        <v>111</v>
      </c>
      <c r="AA28" s="1557">
        <f t="shared" si="3"/>
        <v>1</v>
      </c>
      <c r="AB28" s="1557">
        <f t="shared" si="4"/>
        <v>1</v>
      </c>
      <c r="AC28" s="1557">
        <f t="shared" si="5"/>
        <v>1</v>
      </c>
    </row>
    <row r="29" spans="1:29" ht="15">
      <c r="A29" s="2857"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599" t="s">
        <v>550</v>
      </c>
      <c r="Q29" s="1553" t="str">
        <f t="shared" si="8"/>
        <v>建筑类型</v>
      </c>
      <c r="R29" s="1554" t="s">
        <v>8</v>
      </c>
      <c r="S29" s="1555">
        <f t="shared" si="9"/>
        <v>100</v>
      </c>
      <c r="T29" s="1554" t="s">
        <v>8</v>
      </c>
      <c r="U29" s="1555">
        <f t="shared" si="10"/>
        <v>100</v>
      </c>
      <c r="V29" s="1554" t="s">
        <v>8</v>
      </c>
      <c r="W29" s="1555">
        <f t="shared" si="11"/>
        <v>100</v>
      </c>
      <c r="X29" s="1548"/>
      <c r="Y29" s="3600" t="s">
        <v>550</v>
      </c>
      <c r="Z29" s="1556" t="str">
        <f t="shared" si="12"/>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600"/>
      <c r="Q30" s="1585" t="str">
        <f t="shared" si="8"/>
        <v>项目建筑规模</v>
      </c>
      <c r="R30" s="1558" t="s">
        <v>8</v>
      </c>
      <c r="S30" s="1559" t="e">
        <f t="shared" si="9"/>
        <v>#N/A</v>
      </c>
      <c r="T30" s="1558" t="s">
        <v>8</v>
      </c>
      <c r="U30" s="1559" t="e">
        <f t="shared" si="10"/>
        <v>#N/A</v>
      </c>
      <c r="V30" s="1558" t="s">
        <v>8</v>
      </c>
      <c r="W30" s="1559" t="e">
        <f t="shared" si="11"/>
        <v>#N/A</v>
      </c>
      <c r="X30" s="1560"/>
      <c r="Y30" s="3600"/>
      <c r="Z30" s="1561" t="str">
        <f t="shared" si="12"/>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600"/>
      <c r="Q31" s="1553" t="str">
        <f t="shared" si="8"/>
        <v>建筑结构</v>
      </c>
      <c r="R31" s="1554" t="s">
        <v>8</v>
      </c>
      <c r="S31" s="1555">
        <f t="shared" si="9"/>
        <v>100</v>
      </c>
      <c r="T31" s="1554" t="s">
        <v>8</v>
      </c>
      <c r="U31" s="1555">
        <f t="shared" si="10"/>
        <v>100</v>
      </c>
      <c r="V31" s="1554" t="s">
        <v>8</v>
      </c>
      <c r="W31" s="1555">
        <f t="shared" si="11"/>
        <v>100</v>
      </c>
      <c r="X31" s="1548"/>
      <c r="Y31" s="3600"/>
      <c r="Z31" s="1556" t="str">
        <f t="shared" si="12"/>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600"/>
      <c r="Q32" s="1553" t="str">
        <f t="shared" si="8"/>
        <v>公共部分装修</v>
      </c>
      <c r="R32" s="1554" t="s">
        <v>8</v>
      </c>
      <c r="S32" s="1555">
        <f t="shared" si="9"/>
        <v>100</v>
      </c>
      <c r="T32" s="1554" t="s">
        <v>8</v>
      </c>
      <c r="U32" s="1555">
        <f t="shared" si="10"/>
        <v>100</v>
      </c>
      <c r="V32" s="1554" t="s">
        <v>8</v>
      </c>
      <c r="W32" s="1555">
        <f t="shared" si="11"/>
        <v>100</v>
      </c>
      <c r="X32" s="1548"/>
      <c r="Y32" s="3600"/>
      <c r="Z32" s="1556" t="str">
        <f t="shared" si="12"/>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600"/>
      <c r="Q33" s="1553" t="str">
        <f t="shared" si="8"/>
        <v>成新度</v>
      </c>
      <c r="R33" s="1554" t="s">
        <v>8</v>
      </c>
      <c r="S33" s="1555" t="e">
        <f t="shared" si="9"/>
        <v>#N/A</v>
      </c>
      <c r="T33" s="1554" t="s">
        <v>8</v>
      </c>
      <c r="U33" s="1555" t="e">
        <f t="shared" si="10"/>
        <v>#N/A</v>
      </c>
      <c r="V33" s="1554" t="s">
        <v>8</v>
      </c>
      <c r="W33" s="1555" t="e">
        <f t="shared" si="11"/>
        <v>#N/A</v>
      </c>
      <c r="X33" s="1548"/>
      <c r="Y33" s="3600"/>
      <c r="Z33" s="1556" t="str">
        <f t="shared" si="12"/>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600"/>
      <c r="Q34" s="1143" t="str">
        <f t="shared" si="8"/>
        <v>物业管理</v>
      </c>
      <c r="R34" s="1549" t="s">
        <v>8</v>
      </c>
      <c r="S34" s="1550">
        <f t="shared" si="9"/>
        <v>100</v>
      </c>
      <c r="T34" s="1549" t="s">
        <v>8</v>
      </c>
      <c r="U34" s="1550">
        <f t="shared" si="10"/>
        <v>100</v>
      </c>
      <c r="V34" s="1549" t="s">
        <v>8</v>
      </c>
      <c r="W34" s="1550">
        <f t="shared" si="11"/>
        <v>100</v>
      </c>
      <c r="X34" s="1551"/>
      <c r="Y34" s="3600"/>
      <c r="Z34" s="1142" t="str">
        <f t="shared" si="12"/>
        <v>物业管理</v>
      </c>
      <c r="AA34" s="1552">
        <f t="shared" si="3"/>
        <v>1</v>
      </c>
      <c r="AB34" s="1552">
        <f t="shared" si="4"/>
        <v>1</v>
      </c>
      <c r="AC34" s="1552">
        <f t="shared" si="5"/>
        <v>1</v>
      </c>
    </row>
    <row r="35" spans="1:29" ht="15">
      <c r="A35" s="591"/>
      <c r="B35" s="1875"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600" t="s">
        <v>550</v>
      </c>
      <c r="Q35" s="1553" t="str">
        <f t="shared" si="8"/>
        <v>市政基础设施</v>
      </c>
      <c r="R35" s="1554" t="s">
        <v>8</v>
      </c>
      <c r="S35" s="1555">
        <f t="shared" si="9"/>
        <v>100</v>
      </c>
      <c r="T35" s="1554" t="s">
        <v>8</v>
      </c>
      <c r="U35" s="1555">
        <f t="shared" si="10"/>
        <v>100</v>
      </c>
      <c r="V35" s="1554" t="s">
        <v>8</v>
      </c>
      <c r="W35" s="1555">
        <f t="shared" si="11"/>
        <v>100</v>
      </c>
      <c r="X35" s="1548"/>
      <c r="Y35" s="3600" t="s">
        <v>550</v>
      </c>
      <c r="Z35" s="1556" t="str">
        <f t="shared" si="12"/>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600"/>
      <c r="Q36" s="1553" t="str">
        <f t="shared" si="8"/>
        <v>内部装修</v>
      </c>
      <c r="R36" s="1554" t="s">
        <v>8</v>
      </c>
      <c r="S36" s="1555">
        <f t="shared" si="9"/>
        <v>100</v>
      </c>
      <c r="T36" s="1554" t="s">
        <v>8</v>
      </c>
      <c r="U36" s="1555">
        <f t="shared" si="10"/>
        <v>100</v>
      </c>
      <c r="V36" s="1554" t="s">
        <v>8</v>
      </c>
      <c r="W36" s="1555">
        <f t="shared" si="11"/>
        <v>100</v>
      </c>
      <c r="X36" s="1548"/>
      <c r="Y36" s="3600"/>
      <c r="Z36" s="1556" t="str">
        <f t="shared" si="12"/>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600"/>
      <c r="Q37" s="1553" t="str">
        <f t="shared" si="8"/>
        <v>内部装修状况</v>
      </c>
      <c r="R37" s="1554" t="s">
        <v>8</v>
      </c>
      <c r="S37" s="1555">
        <f t="shared" si="9"/>
        <v>100</v>
      </c>
      <c r="T37" s="1554" t="s">
        <v>8</v>
      </c>
      <c r="U37" s="1555">
        <f t="shared" si="10"/>
        <v>100</v>
      </c>
      <c r="V37" s="1554" t="s">
        <v>8</v>
      </c>
      <c r="W37" s="1555">
        <f t="shared" si="11"/>
        <v>100</v>
      </c>
      <c r="X37" s="1548"/>
      <c r="Y37" s="3600"/>
      <c r="Z37" s="1556" t="str">
        <f t="shared" si="12"/>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600"/>
      <c r="Q38" s="1585">
        <f t="shared" si="8"/>
        <v>111</v>
      </c>
      <c r="R38" s="1558" t="s">
        <v>8</v>
      </c>
      <c r="S38" s="1559">
        <f t="shared" si="9"/>
        <v>100</v>
      </c>
      <c r="T38" s="1558" t="s">
        <v>8</v>
      </c>
      <c r="U38" s="1559">
        <f t="shared" si="10"/>
        <v>100</v>
      </c>
      <c r="V38" s="1558" t="s">
        <v>8</v>
      </c>
      <c r="W38" s="1559">
        <f t="shared" si="11"/>
        <v>100</v>
      </c>
      <c r="X38" s="1560"/>
      <c r="Y38" s="3600"/>
      <c r="Z38" s="1561">
        <f t="shared" si="12"/>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600"/>
      <c r="Q39" s="1553">
        <f t="shared" si="8"/>
        <v>111</v>
      </c>
      <c r="R39" s="1554" t="s">
        <v>8</v>
      </c>
      <c r="S39" s="1555">
        <f t="shared" si="9"/>
        <v>100</v>
      </c>
      <c r="T39" s="1554" t="s">
        <v>8</v>
      </c>
      <c r="U39" s="1555">
        <f t="shared" si="10"/>
        <v>100</v>
      </c>
      <c r="V39" s="1554" t="s">
        <v>8</v>
      </c>
      <c r="W39" s="1555">
        <f t="shared" si="11"/>
        <v>100</v>
      </c>
      <c r="X39" s="1548"/>
      <c r="Y39" s="3600"/>
      <c r="Z39" s="1556">
        <f t="shared" si="12"/>
        <v>111</v>
      </c>
      <c r="AA39" s="1557">
        <f t="shared" si="3"/>
        <v>1</v>
      </c>
      <c r="AB39" s="1557">
        <f t="shared" si="4"/>
        <v>1</v>
      </c>
      <c r="AC39" s="1557">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640"/>
      <c r="Q40" s="1553">
        <f t="shared" si="8"/>
        <v>111</v>
      </c>
      <c r="R40" s="1554" t="s">
        <v>8</v>
      </c>
      <c r="S40" s="1555">
        <f t="shared" si="9"/>
        <v>100</v>
      </c>
      <c r="T40" s="1554" t="s">
        <v>8</v>
      </c>
      <c r="U40" s="1555">
        <f t="shared" si="10"/>
        <v>100</v>
      </c>
      <c r="V40" s="1554" t="s">
        <v>8</v>
      </c>
      <c r="W40" s="1555">
        <f t="shared" si="11"/>
        <v>100</v>
      </c>
      <c r="X40" s="1548"/>
      <c r="Y40" s="3640"/>
      <c r="Z40" s="1556">
        <f t="shared" si="12"/>
        <v>111</v>
      </c>
      <c r="AA40" s="1557">
        <f t="shared" si="3"/>
        <v>1</v>
      </c>
      <c r="AB40" s="1557">
        <f t="shared" si="4"/>
        <v>1</v>
      </c>
      <c r="AC40" s="1557">
        <f t="shared" si="5"/>
        <v>1</v>
      </c>
    </row>
    <row r="41" spans="1:29" ht="14.4">
      <c r="A41" s="604" t="s">
        <v>736</v>
      </c>
      <c r="B41" s="883"/>
      <c r="C41" s="2586" t="s">
        <v>1</v>
      </c>
      <c r="D41" s="2587"/>
      <c r="E41" s="2588"/>
      <c r="F41" s="2589"/>
      <c r="G41" s="2590"/>
      <c r="H41" s="2591"/>
      <c r="I41" s="2588"/>
      <c r="J41" s="2591"/>
      <c r="K41" s="1591"/>
      <c r="L41" s="2124"/>
      <c r="M41" s="2125"/>
      <c r="N41" s="2114"/>
      <c r="O41" s="2125"/>
      <c r="P41" s="3562" t="str">
        <f>A41</f>
        <v>成交单价（元/平方米）</v>
      </c>
      <c r="Q41" s="3562"/>
      <c r="R41" s="3639">
        <f>E41</f>
        <v>0</v>
      </c>
      <c r="S41" s="3639"/>
      <c r="T41" s="3639">
        <f>G41</f>
        <v>0</v>
      </c>
      <c r="U41" s="3639"/>
      <c r="V41" s="3639">
        <f>I41</f>
        <v>0</v>
      </c>
      <c r="W41" s="3639"/>
      <c r="X41" s="1540"/>
      <c r="Y41" s="1562"/>
      <c r="Z41" s="1540"/>
      <c r="AA41" s="1540"/>
      <c r="AB41" s="1540"/>
      <c r="AC41" s="1540"/>
    </row>
    <row r="42" spans="1:29" ht="15" thickBot="1">
      <c r="A42" s="612" t="s">
        <v>2756</v>
      </c>
      <c r="B42" s="884"/>
      <c r="C42" s="2592" t="e">
        <f>R43</f>
        <v>#DIV/0!</v>
      </c>
      <c r="D42" s="2593"/>
      <c r="E42" s="2594" t="e">
        <f>R42</f>
        <v>#DIV/0!</v>
      </c>
      <c r="F42" s="2594"/>
      <c r="G42" s="2592" t="e">
        <f>T42</f>
        <v>#DIV/0!</v>
      </c>
      <c r="H42" s="2593"/>
      <c r="I42" s="2594" t="e">
        <f>V42</f>
        <v>#DIV/0!</v>
      </c>
      <c r="J42" s="2593"/>
      <c r="K42" s="1592"/>
      <c r="L42" s="2124"/>
      <c r="M42" s="2125"/>
      <c r="N42" s="2114"/>
      <c r="O42" s="2125"/>
      <c r="P42" s="3562" t="str">
        <f>A42</f>
        <v>比较价格（元/平方米）</v>
      </c>
      <c r="Q42" s="3562"/>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540"/>
      <c r="Y42" s="1540"/>
      <c r="Z42" s="1540"/>
      <c r="AA42" s="1540"/>
      <c r="AB42" s="1540"/>
      <c r="AC42" s="1540"/>
    </row>
    <row r="43" spans="1:29" ht="15" thickBot="1">
      <c r="A43" s="618" t="s">
        <v>2928</v>
      </c>
      <c r="B43" s="619"/>
      <c r="C43" s="2595" t="e">
        <f>R43</f>
        <v>#DIV/0!</v>
      </c>
      <c r="D43" s="2595"/>
      <c r="E43" s="2595"/>
      <c r="F43" s="2595"/>
      <c r="G43" s="2595"/>
      <c r="H43" s="2595"/>
      <c r="I43" s="2595"/>
      <c r="J43" s="2595"/>
      <c r="K43" s="1593"/>
      <c r="L43" s="2124"/>
      <c r="M43" s="2125"/>
      <c r="N43" s="2125"/>
      <c r="O43" s="2125"/>
      <c r="P43" s="3559" t="str">
        <f>A43</f>
        <v>估价对象XX用房的比较价格（楼面单价，元/平方米）</v>
      </c>
      <c r="Q43" s="3560"/>
      <c r="R43" s="3638" t="e">
        <f>IF(F1="售价",ROUND(AVERAGE(R42:V42),0),ROUND(AVERAGE(R42:V42),1))</f>
        <v>#DIV/0!</v>
      </c>
      <c r="S43" s="3638"/>
      <c r="T43" s="3638"/>
      <c r="U43" s="3638"/>
      <c r="V43" s="3638"/>
      <c r="W43" s="3638"/>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2.2"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9" customFormat="1" ht="14.4">
      <c r="A52" s="642" t="s">
        <v>529</v>
      </c>
      <c r="B52" s="643"/>
      <c r="C52" s="2752" t="str">
        <f>YEAR(C7)&amp;"-"&amp;MONTH(C7)</f>
        <v>2020-7</v>
      </c>
      <c r="D52" s="2754">
        <f>EDATE(C52,-1)</f>
        <v>43983</v>
      </c>
      <c r="E52" s="2754">
        <f t="shared" ref="E52:O52" si="13">EDATE(D52,-1)</f>
        <v>43952</v>
      </c>
      <c r="F52" s="2754">
        <f t="shared" si="13"/>
        <v>43922</v>
      </c>
      <c r="G52" s="2754">
        <f t="shared" si="13"/>
        <v>43891</v>
      </c>
      <c r="H52" s="2754">
        <f t="shared" si="13"/>
        <v>43862</v>
      </c>
      <c r="I52" s="2754">
        <f t="shared" si="13"/>
        <v>43831</v>
      </c>
      <c r="J52" s="2754">
        <f t="shared" si="13"/>
        <v>43800</v>
      </c>
      <c r="K52" s="2754">
        <f t="shared" si="13"/>
        <v>43770</v>
      </c>
      <c r="L52" s="2754">
        <f t="shared" si="13"/>
        <v>43739</v>
      </c>
      <c r="M52" s="2754">
        <f t="shared" si="13"/>
        <v>43709</v>
      </c>
      <c r="N52" s="2754">
        <f t="shared" si="13"/>
        <v>43678</v>
      </c>
      <c r="O52" s="2754">
        <f t="shared" si="13"/>
        <v>43647</v>
      </c>
      <c r="P52" s="2140"/>
      <c r="Q52" s="2141"/>
      <c r="R52" s="2141"/>
      <c r="S52" s="2141"/>
      <c r="T52" s="2141"/>
      <c r="U52" s="2141"/>
      <c r="V52" s="2141"/>
      <c r="W52" s="2141"/>
      <c r="X52" s="2141"/>
      <c r="Y52" s="2141"/>
      <c r="Z52" s="2141"/>
      <c r="AA52" s="2141"/>
      <c r="AB52" s="2141"/>
      <c r="AC52" s="2141"/>
    </row>
    <row r="53" spans="1:29" s="1212" customFormat="1">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4.4">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4.4"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ht="14.4">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 thickTop="1">
      <c r="A61" s="666"/>
      <c r="B61" s="678" t="s">
        <v>538</v>
      </c>
      <c r="C61" s="679" t="str">
        <f>C62&amp;"（含）"&amp;"-"&amp;D62</f>
        <v>（含）-</v>
      </c>
      <c r="D61" s="679" t="str">
        <f t="shared" ref="D61:L61" si="14">D62&amp;"（含）"&amp;"-"&amp;E62</f>
        <v>（含）-</v>
      </c>
      <c r="E61" s="679" t="str">
        <f t="shared" si="14"/>
        <v>（含）-</v>
      </c>
      <c r="F61" s="679" t="str">
        <f t="shared" si="14"/>
        <v>（含）-</v>
      </c>
      <c r="G61" s="679" t="str">
        <f t="shared" si="14"/>
        <v>（含）-</v>
      </c>
      <c r="H61" s="679" t="str">
        <f t="shared" si="14"/>
        <v>（含）-</v>
      </c>
      <c r="I61" s="679" t="str">
        <f t="shared" si="14"/>
        <v>（含）-</v>
      </c>
      <c r="J61" s="679" t="str">
        <f t="shared" si="14"/>
        <v>（含）-</v>
      </c>
      <c r="K61" s="679" t="str">
        <f t="shared" si="14"/>
        <v>（含）-</v>
      </c>
      <c r="L61" s="679" t="str">
        <f t="shared" si="14"/>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4.4" thickBot="1">
      <c r="A63" s="666"/>
      <c r="B63" s="667"/>
      <c r="C63" s="676">
        <v>100</v>
      </c>
      <c r="D63" s="676">
        <f t="shared" ref="D63:M63" si="15">C63-$K11</f>
        <v>100</v>
      </c>
      <c r="E63" s="676">
        <f t="shared" si="15"/>
        <v>100</v>
      </c>
      <c r="F63" s="676">
        <f t="shared" si="15"/>
        <v>100</v>
      </c>
      <c r="G63" s="676">
        <f t="shared" si="15"/>
        <v>100</v>
      </c>
      <c r="H63" s="676">
        <f t="shared" si="15"/>
        <v>100</v>
      </c>
      <c r="I63" s="676">
        <f t="shared" si="15"/>
        <v>100</v>
      </c>
      <c r="J63" s="676">
        <f t="shared" si="15"/>
        <v>100</v>
      </c>
      <c r="K63" s="676">
        <f t="shared" si="15"/>
        <v>100</v>
      </c>
      <c r="L63" s="676">
        <f t="shared" si="15"/>
        <v>100</v>
      </c>
      <c r="M63" s="677">
        <f t="shared" si="15"/>
        <v>100</v>
      </c>
      <c r="N63" s="2146"/>
      <c r="O63" s="2146"/>
      <c r="P63" s="2145"/>
      <c r="Q63" s="2138"/>
      <c r="R63" s="2125"/>
      <c r="S63" s="2125"/>
      <c r="T63" s="2125"/>
      <c r="U63" s="2125"/>
      <c r="V63" s="2125"/>
      <c r="W63" s="2125"/>
      <c r="X63" s="2125"/>
      <c r="Y63" s="2125"/>
      <c r="Z63" s="2125"/>
      <c r="AA63" s="2125"/>
      <c r="AB63" s="2125"/>
      <c r="AC63" s="2125"/>
    </row>
    <row r="64" spans="1:29" s="1331" customFormat="1" ht="14.4"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4.4"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4.4"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4.4"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4.4"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4.4"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ht="14.4">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 thickTop="1">
      <c r="A74" s="666"/>
      <c r="B74" s="1876" t="s">
        <v>2554</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2556" t="s">
        <v>2555</v>
      </c>
      <c r="C76" s="2557" t="s">
        <v>2556</v>
      </c>
      <c r="D76" s="2557" t="s">
        <v>2557</v>
      </c>
      <c r="E76" s="2557" t="s">
        <v>2558</v>
      </c>
      <c r="F76" s="2557" t="s">
        <v>2559</v>
      </c>
      <c r="G76" s="2557" t="s">
        <v>2560</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4.4"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4.4"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4.4"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4.4"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4.4"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4.4"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4.4"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ht="14.4">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676">
        <v>100</v>
      </c>
      <c r="D89" s="676">
        <f t="shared" ref="D89:M89" si="16">C89-$K29</f>
        <v>100</v>
      </c>
      <c r="E89" s="676">
        <f t="shared" si="16"/>
        <v>100</v>
      </c>
      <c r="F89" s="676">
        <f t="shared" si="16"/>
        <v>100</v>
      </c>
      <c r="G89" s="676">
        <f t="shared" si="16"/>
        <v>100</v>
      </c>
      <c r="H89" s="676">
        <f t="shared" si="16"/>
        <v>100</v>
      </c>
      <c r="I89" s="676">
        <f t="shared" si="16"/>
        <v>100</v>
      </c>
      <c r="J89" s="676">
        <f t="shared" si="16"/>
        <v>100</v>
      </c>
      <c r="K89" s="676">
        <f t="shared" si="16"/>
        <v>100</v>
      </c>
      <c r="L89" s="676">
        <f t="shared" si="16"/>
        <v>100</v>
      </c>
      <c r="M89" s="677">
        <f t="shared" si="16"/>
        <v>100</v>
      </c>
      <c r="N89" s="2146"/>
      <c r="O89" s="2146"/>
      <c r="P89" s="2145"/>
      <c r="Q89" s="2138"/>
      <c r="R89" s="2125"/>
      <c r="S89" s="2125"/>
      <c r="T89" s="2125"/>
      <c r="U89" s="2125"/>
      <c r="V89" s="2125"/>
      <c r="W89" s="2125"/>
      <c r="X89" s="2125"/>
      <c r="Y89" s="2125"/>
      <c r="Z89" s="2125"/>
      <c r="AA89" s="2125"/>
      <c r="AB89" s="2125"/>
      <c r="AC89" s="2125"/>
    </row>
    <row r="90" spans="1:29" ht="15" thickTop="1">
      <c r="A90" s="666"/>
      <c r="B90" s="670" t="s">
        <v>748</v>
      </c>
      <c r="C90" s="705" t="str">
        <f>C91&amp;"(含)"&amp;"-"&amp;D91</f>
        <v>(含)-</v>
      </c>
      <c r="D90" s="705" t="str">
        <f t="shared" ref="D90:L90" si="17">D91&amp;"(含)"&amp;"-"&amp;E91</f>
        <v>(含)-</v>
      </c>
      <c r="E90" s="705" t="str">
        <f t="shared" si="17"/>
        <v>(含)-</v>
      </c>
      <c r="F90" s="705" t="str">
        <f t="shared" si="17"/>
        <v>(含)-</v>
      </c>
      <c r="G90" s="705" t="str">
        <f t="shared" si="17"/>
        <v>(含)-</v>
      </c>
      <c r="H90" s="705" t="str">
        <f t="shared" si="17"/>
        <v>(含)-</v>
      </c>
      <c r="I90" s="705" t="str">
        <f t="shared" si="17"/>
        <v>(含)-</v>
      </c>
      <c r="J90" s="705" t="str">
        <f t="shared" si="17"/>
        <v>(含)-</v>
      </c>
      <c r="K90" s="705" t="str">
        <f t="shared" si="17"/>
        <v>(含)-</v>
      </c>
      <c r="L90" s="705" t="str">
        <f t="shared" si="17"/>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18">C94-$K31</f>
        <v>100</v>
      </c>
      <c r="E94" s="676">
        <f t="shared" si="18"/>
        <v>100</v>
      </c>
      <c r="F94" s="676">
        <f t="shared" si="18"/>
        <v>100</v>
      </c>
      <c r="G94" s="676">
        <f t="shared" si="18"/>
        <v>100</v>
      </c>
      <c r="H94" s="676">
        <f t="shared" si="18"/>
        <v>100</v>
      </c>
      <c r="I94" s="676">
        <f t="shared" si="18"/>
        <v>100</v>
      </c>
      <c r="J94" s="676">
        <f t="shared" si="18"/>
        <v>100</v>
      </c>
      <c r="K94" s="676">
        <f t="shared" si="18"/>
        <v>100</v>
      </c>
      <c r="L94" s="676">
        <f t="shared" si="18"/>
        <v>100</v>
      </c>
      <c r="M94" s="677">
        <f t="shared" si="18"/>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 t="shared" ref="D96:M96" si="19">C96-$K32</f>
        <v>100</v>
      </c>
      <c r="E96" s="676">
        <f t="shared" si="19"/>
        <v>100</v>
      </c>
      <c r="F96" s="676">
        <f t="shared" si="19"/>
        <v>100</v>
      </c>
      <c r="G96" s="676">
        <f t="shared" si="19"/>
        <v>100</v>
      </c>
      <c r="H96" s="676">
        <f t="shared" si="19"/>
        <v>100</v>
      </c>
      <c r="I96" s="676">
        <f t="shared" si="19"/>
        <v>100</v>
      </c>
      <c r="J96" s="676">
        <f t="shared" si="19"/>
        <v>100</v>
      </c>
      <c r="K96" s="676">
        <f t="shared" si="19"/>
        <v>100</v>
      </c>
      <c r="L96" s="676">
        <f t="shared" si="19"/>
        <v>100</v>
      </c>
      <c r="M96" s="677">
        <f t="shared" si="19"/>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4.4" thickBot="1">
      <c r="A99" s="666"/>
      <c r="B99" s="675"/>
      <c r="C99" s="709">
        <v>100</v>
      </c>
      <c r="D99" s="676">
        <f>C99+$K33</f>
        <v>100</v>
      </c>
      <c r="E99" s="676">
        <f t="shared" ref="E99:M99" si="20">D99+$K33</f>
        <v>100</v>
      </c>
      <c r="F99" s="676">
        <f t="shared" si="20"/>
        <v>100</v>
      </c>
      <c r="G99" s="676">
        <f t="shared" si="20"/>
        <v>100</v>
      </c>
      <c r="H99" s="676">
        <f t="shared" si="20"/>
        <v>100</v>
      </c>
      <c r="I99" s="676">
        <f t="shared" si="20"/>
        <v>100</v>
      </c>
      <c r="J99" s="676">
        <f t="shared" si="20"/>
        <v>100</v>
      </c>
      <c r="K99" s="676">
        <f t="shared" si="20"/>
        <v>100</v>
      </c>
      <c r="L99" s="676">
        <f t="shared" si="20"/>
        <v>100</v>
      </c>
      <c r="M99" s="676">
        <f t="shared" si="20"/>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4.4" thickBot="1">
      <c r="A101" s="684"/>
      <c r="B101" s="675"/>
      <c r="C101" s="676">
        <v>100</v>
      </c>
      <c r="D101" s="676">
        <f>C101-$K34</f>
        <v>100</v>
      </c>
      <c r="E101" s="676">
        <f t="shared" ref="E101:M101" si="21">D101-$K34</f>
        <v>100</v>
      </c>
      <c r="F101" s="676">
        <f t="shared" si="21"/>
        <v>100</v>
      </c>
      <c r="G101" s="676">
        <f t="shared" si="21"/>
        <v>100</v>
      </c>
      <c r="H101" s="676">
        <f t="shared" si="21"/>
        <v>100</v>
      </c>
      <c r="I101" s="676">
        <f t="shared" si="21"/>
        <v>100</v>
      </c>
      <c r="J101" s="676">
        <f t="shared" si="21"/>
        <v>100</v>
      </c>
      <c r="K101" s="676">
        <f t="shared" si="21"/>
        <v>100</v>
      </c>
      <c r="L101" s="676">
        <f t="shared" si="21"/>
        <v>100</v>
      </c>
      <c r="M101" s="676">
        <f t="shared" si="21"/>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2553</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4.4" thickBot="1">
      <c r="A103" s="666"/>
      <c r="B103" s="675"/>
      <c r="C103" s="676">
        <v>100</v>
      </c>
      <c r="D103" s="676">
        <f t="shared" ref="D103:M103" si="22">C103-$K35</f>
        <v>100</v>
      </c>
      <c r="E103" s="676">
        <f t="shared" si="22"/>
        <v>100</v>
      </c>
      <c r="F103" s="676">
        <f t="shared" si="22"/>
        <v>100</v>
      </c>
      <c r="G103" s="676">
        <f t="shared" si="22"/>
        <v>100</v>
      </c>
      <c r="H103" s="676">
        <f t="shared" si="22"/>
        <v>100</v>
      </c>
      <c r="I103" s="676">
        <f t="shared" si="22"/>
        <v>100</v>
      </c>
      <c r="J103" s="676">
        <f t="shared" si="22"/>
        <v>100</v>
      </c>
      <c r="K103" s="676">
        <f t="shared" si="22"/>
        <v>100</v>
      </c>
      <c r="L103" s="676">
        <f t="shared" si="22"/>
        <v>100</v>
      </c>
      <c r="M103" s="677">
        <f t="shared" si="22"/>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9.4"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4.4" thickBot="1">
      <c r="A107" s="666"/>
      <c r="B107" s="675"/>
      <c r="C107" s="709">
        <v>100</v>
      </c>
      <c r="D107" s="676">
        <f t="shared" ref="D107:M107" si="23">C107-$K37</f>
        <v>100</v>
      </c>
      <c r="E107" s="676">
        <f t="shared" si="23"/>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4.4"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4.4"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4.4"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4.4"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8" t="s">
        <v>2074</v>
      </c>
      <c r="F3" s="848">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68" t="s">
        <v>798</v>
      </c>
      <c r="D4" s="3569"/>
      <c r="E4" s="3568" t="s">
        <v>799</v>
      </c>
      <c r="F4" s="3569"/>
      <c r="G4" s="3568" t="s">
        <v>800</v>
      </c>
      <c r="H4" s="3569"/>
      <c r="I4" s="3568" t="s">
        <v>801</v>
      </c>
      <c r="J4" s="3569"/>
      <c r="K4" s="511" t="s">
        <v>802</v>
      </c>
      <c r="L4" s="2113"/>
      <c r="M4" s="2114"/>
      <c r="N4" s="2114"/>
      <c r="O4" s="2114"/>
      <c r="P4" s="3570" t="s">
        <v>803</v>
      </c>
      <c r="Q4" s="3571"/>
      <c r="R4" s="3576" t="s">
        <v>799</v>
      </c>
      <c r="S4" s="3577"/>
      <c r="T4" s="3576" t="s">
        <v>800</v>
      </c>
      <c r="U4" s="3577"/>
      <c r="V4" s="3563" t="s">
        <v>801</v>
      </c>
      <c r="W4" s="3563"/>
      <c r="X4" s="1548"/>
      <c r="Y4" s="3576" t="s">
        <v>803</v>
      </c>
      <c r="Z4" s="3577"/>
      <c r="AA4" s="3565" t="s">
        <v>799</v>
      </c>
      <c r="AB4" s="3566" t="s">
        <v>800</v>
      </c>
      <c r="AC4" s="3565" t="s">
        <v>801</v>
      </c>
    </row>
    <row r="5" spans="1:29">
      <c r="A5" s="512"/>
      <c r="B5" s="513"/>
      <c r="C5" s="3584" t="s">
        <v>2922</v>
      </c>
      <c r="D5" s="3585"/>
      <c r="E5" s="3584" t="s">
        <v>2923</v>
      </c>
      <c r="F5" s="3585"/>
      <c r="G5" s="3584" t="s">
        <v>2924</v>
      </c>
      <c r="H5" s="3585"/>
      <c r="I5" s="3584" t="s">
        <v>2925</v>
      </c>
      <c r="J5" s="3585"/>
      <c r="K5" s="511"/>
      <c r="L5" s="2113"/>
      <c r="M5" s="2114"/>
      <c r="N5" s="2114"/>
      <c r="O5" s="2114"/>
      <c r="P5" s="3572"/>
      <c r="Q5" s="3573"/>
      <c r="R5" s="3578"/>
      <c r="S5" s="3579"/>
      <c r="T5" s="3578"/>
      <c r="U5" s="3579"/>
      <c r="V5" s="3563"/>
      <c r="W5" s="3563"/>
      <c r="X5" s="1548"/>
      <c r="Y5" s="3578"/>
      <c r="Z5" s="3579"/>
      <c r="AA5" s="3566"/>
      <c r="AB5" s="3566"/>
      <c r="AC5" s="3566"/>
    </row>
    <row r="6" spans="1:29" ht="15" thickBot="1">
      <c r="A6" s="514"/>
      <c r="B6" s="515"/>
      <c r="C6" s="3582" t="s">
        <v>2926</v>
      </c>
      <c r="D6" s="3583"/>
      <c r="E6" s="3586" t="s">
        <v>2926</v>
      </c>
      <c r="F6" s="3587"/>
      <c r="G6" s="3582" t="s">
        <v>2926</v>
      </c>
      <c r="H6" s="3583"/>
      <c r="I6" s="3582" t="s">
        <v>2926</v>
      </c>
      <c r="J6" s="3583"/>
      <c r="K6" s="511" t="s">
        <v>528</v>
      </c>
      <c r="L6" s="2113"/>
      <c r="M6" s="2114"/>
      <c r="N6" s="2114"/>
      <c r="O6" s="2114"/>
      <c r="P6" s="3574"/>
      <c r="Q6" s="3575"/>
      <c r="R6" s="3578"/>
      <c r="S6" s="3579"/>
      <c r="T6" s="3580"/>
      <c r="U6" s="3581"/>
      <c r="V6" s="3563"/>
      <c r="W6" s="3563"/>
      <c r="X6" s="1548"/>
      <c r="Y6" s="3580"/>
      <c r="Z6" s="3581"/>
      <c r="AA6" s="3567"/>
      <c r="AB6" s="3567"/>
      <c r="AC6" s="3567"/>
    </row>
    <row r="7" spans="1:29" s="1212" customFormat="1" ht="15" thickBot="1">
      <c r="A7" s="2861"/>
      <c r="B7" s="2868" t="s">
        <v>529</v>
      </c>
      <c r="C7" s="516">
        <f>'数据-取费表'!B2</f>
        <v>44027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594" t="s">
        <v>530</v>
      </c>
      <c r="Q7" s="3596"/>
      <c r="R7" s="1549" t="s">
        <v>8</v>
      </c>
      <c r="S7" s="1550">
        <f t="shared" ref="S7:S14" si="0">F7</f>
        <v>0</v>
      </c>
      <c r="T7" s="1549" t="s">
        <v>8</v>
      </c>
      <c r="U7" s="1550">
        <f t="shared" ref="U7:U14" si="1">H7</f>
        <v>0</v>
      </c>
      <c r="V7" s="1549" t="s">
        <v>8</v>
      </c>
      <c r="W7" s="1550">
        <f t="shared" ref="W7:W14"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594" t="s">
        <v>533</v>
      </c>
      <c r="Q8" s="3595"/>
      <c r="R8" s="1549" t="s">
        <v>8</v>
      </c>
      <c r="S8" s="1550">
        <f t="shared" si="0"/>
        <v>0</v>
      </c>
      <c r="T8" s="1549" t="s">
        <v>8</v>
      </c>
      <c r="U8" s="1550">
        <f t="shared" si="1"/>
        <v>0</v>
      </c>
      <c r="V8" s="1549" t="s">
        <v>8</v>
      </c>
      <c r="W8" s="1550">
        <f t="shared" si="2"/>
        <v>0</v>
      </c>
      <c r="X8" s="1551"/>
      <c r="Y8" s="3594" t="s">
        <v>533</v>
      </c>
      <c r="Z8" s="3595"/>
      <c r="AA8" s="1552" t="e">
        <f t="shared" ref="AA8:AA36" si="3">D8/F8</f>
        <v>#DIV/0!</v>
      </c>
      <c r="AB8" s="1552" t="e">
        <f t="shared" ref="AB8:AB36" si="4">D8/H8</f>
        <v>#DIV/0!</v>
      </c>
      <c r="AC8" s="1552" t="e">
        <f t="shared" ref="AC8:AC36" si="5">D8/J8</f>
        <v>#DIV/0!</v>
      </c>
    </row>
    <row r="9" spans="1:29" s="1212" customFormat="1" ht="14.4">
      <c r="A9" s="2863"/>
      <c r="B9" s="2870" t="s">
        <v>2752</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562" t="s">
        <v>535</v>
      </c>
      <c r="Q9" s="1143" t="str">
        <f t="shared" ref="Q9:Q14" si="6">B9</f>
        <v>用途</v>
      </c>
      <c r="R9" s="1549" t="s">
        <v>8</v>
      </c>
      <c r="S9" s="1550">
        <f t="shared" si="0"/>
        <v>100</v>
      </c>
      <c r="T9" s="1549" t="s">
        <v>8</v>
      </c>
      <c r="U9" s="1550">
        <f t="shared" si="1"/>
        <v>100</v>
      </c>
      <c r="V9" s="1549" t="s">
        <v>8</v>
      </c>
      <c r="W9" s="1550">
        <f t="shared" si="2"/>
        <v>100</v>
      </c>
      <c r="X9" s="1551"/>
      <c r="Y9" s="3504"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562"/>
      <c r="Q11" s="1143">
        <f t="shared" si="6"/>
        <v>111</v>
      </c>
      <c r="R11" s="1549" t="s">
        <v>8</v>
      </c>
      <c r="S11" s="1550">
        <f t="shared" si="0"/>
        <v>100</v>
      </c>
      <c r="T11" s="1549" t="s">
        <v>8</v>
      </c>
      <c r="U11" s="1550">
        <f t="shared" si="1"/>
        <v>100</v>
      </c>
      <c r="V11" s="1549" t="s">
        <v>8</v>
      </c>
      <c r="W11" s="1550">
        <f t="shared" si="2"/>
        <v>100</v>
      </c>
      <c r="X11" s="1551"/>
      <c r="Y11" s="3504"/>
      <c r="Z11" s="1142">
        <f t="shared" si="7"/>
        <v>111</v>
      </c>
      <c r="AA11" s="1552">
        <f t="shared" si="3"/>
        <v>1</v>
      </c>
      <c r="AB11" s="1552">
        <f t="shared" si="4"/>
        <v>1</v>
      </c>
      <c r="AC11" s="1552">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562"/>
      <c r="Q12" s="1143">
        <f t="shared" si="6"/>
        <v>111</v>
      </c>
      <c r="R12" s="1549" t="s">
        <v>8</v>
      </c>
      <c r="S12" s="1550">
        <f t="shared" si="0"/>
        <v>100</v>
      </c>
      <c r="T12" s="1549" t="s">
        <v>8</v>
      </c>
      <c r="U12" s="1550">
        <f t="shared" si="1"/>
        <v>100</v>
      </c>
      <c r="V12" s="1549" t="s">
        <v>8</v>
      </c>
      <c r="W12" s="1550">
        <f t="shared" si="2"/>
        <v>100</v>
      </c>
      <c r="X12" s="1551"/>
      <c r="Y12" s="3504"/>
      <c r="Z12" s="1142">
        <f t="shared" si="7"/>
        <v>111</v>
      </c>
      <c r="AA12" s="1552">
        <f>D12/F12</f>
        <v>1</v>
      </c>
      <c r="AB12" s="1552">
        <f>D12/H12</f>
        <v>1</v>
      </c>
      <c r="AC12" s="1552">
        <f>D12/J12</f>
        <v>1</v>
      </c>
    </row>
    <row r="13" spans="1:29" ht="15.6"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562"/>
      <c r="Q13" s="1143">
        <f t="shared" si="6"/>
        <v>111</v>
      </c>
      <c r="R13" s="1549" t="s">
        <v>8</v>
      </c>
      <c r="S13" s="1550">
        <f t="shared" si="0"/>
        <v>100</v>
      </c>
      <c r="T13" s="1549" t="s">
        <v>8</v>
      </c>
      <c r="U13" s="1550">
        <f t="shared" si="1"/>
        <v>100</v>
      </c>
      <c r="V13" s="1549" t="s">
        <v>8</v>
      </c>
      <c r="W13" s="1550">
        <f t="shared" si="2"/>
        <v>100</v>
      </c>
      <c r="X13" s="1551"/>
      <c r="Y13" s="3504"/>
      <c r="Z13" s="1142">
        <f t="shared" si="7"/>
        <v>111</v>
      </c>
      <c r="AA13" s="1552">
        <f t="shared" si="3"/>
        <v>1</v>
      </c>
      <c r="AB13" s="1552">
        <f t="shared" si="4"/>
        <v>1</v>
      </c>
      <c r="AC13" s="1552">
        <f t="shared" si="5"/>
        <v>1</v>
      </c>
    </row>
    <row r="14" spans="1:29" ht="138">
      <c r="A14" s="2859"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597" t="s">
        <v>540</v>
      </c>
      <c r="Q14" s="1553" t="str">
        <f t="shared" si="6"/>
        <v>交通便捷度</v>
      </c>
      <c r="R14" s="1554" t="s">
        <v>8</v>
      </c>
      <c r="S14" s="1555">
        <f t="shared" si="0"/>
        <v>100</v>
      </c>
      <c r="T14" s="1554" t="s">
        <v>8</v>
      </c>
      <c r="U14" s="1555">
        <f t="shared" si="1"/>
        <v>100</v>
      </c>
      <c r="V14" s="1554" t="s">
        <v>8</v>
      </c>
      <c r="W14" s="1555">
        <f t="shared" si="2"/>
        <v>100</v>
      </c>
      <c r="X14" s="1548"/>
      <c r="Y14" s="3597"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2"/>
      <c r="M15" s="2114"/>
      <c r="N15" s="2114"/>
      <c r="O15" s="2121"/>
      <c r="P15" s="3598"/>
      <c r="Q15" s="1553"/>
      <c r="R15" s="1554"/>
      <c r="S15" s="1555"/>
      <c r="T15" s="1554"/>
      <c r="U15" s="1555"/>
      <c r="V15" s="1554"/>
      <c r="W15" s="1555"/>
      <c r="X15" s="1548"/>
      <c r="Y15" s="3598"/>
      <c r="Z15" s="1556"/>
      <c r="AA15" s="1557">
        <v>1</v>
      </c>
      <c r="AB15" s="1557">
        <v>1</v>
      </c>
      <c r="AC15" s="1557">
        <v>1</v>
      </c>
    </row>
    <row r="16" spans="1:29" ht="55.2">
      <c r="A16" s="512"/>
      <c r="B16" s="2562"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598"/>
      <c r="Q16" s="1553" t="str">
        <f>B16</f>
        <v>公共配套设施</v>
      </c>
      <c r="R16" s="1554" t="s">
        <v>8</v>
      </c>
      <c r="S16" s="1555">
        <f>F16</f>
        <v>100</v>
      </c>
      <c r="T16" s="1554" t="s">
        <v>8</v>
      </c>
      <c r="U16" s="1555">
        <f>H16</f>
        <v>100</v>
      </c>
      <c r="V16" s="1554" t="s">
        <v>8</v>
      </c>
      <c r="W16" s="1555">
        <f>J16</f>
        <v>100</v>
      </c>
      <c r="X16" s="1548"/>
      <c r="Y16" s="3598"/>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2"/>
      <c r="M17" s="2114"/>
      <c r="N17" s="2114"/>
      <c r="O17" s="2121"/>
      <c r="P17" s="3598"/>
      <c r="Q17" s="1553"/>
      <c r="R17" s="1554"/>
      <c r="S17" s="1555"/>
      <c r="T17" s="1554"/>
      <c r="U17" s="1555"/>
      <c r="V17" s="1554"/>
      <c r="W17" s="1555"/>
      <c r="X17" s="1548"/>
      <c r="Y17" s="3598"/>
      <c r="Z17" s="1556"/>
      <c r="AA17" s="1557">
        <v>1</v>
      </c>
      <c r="AB17" s="1557">
        <v>1</v>
      </c>
      <c r="AC17" s="1557">
        <v>1</v>
      </c>
    </row>
    <row r="18" spans="1:29" ht="41.4">
      <c r="A18" s="512"/>
      <c r="B18" s="2550"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598"/>
      <c r="Q18" s="2538" t="str">
        <f>B18</f>
        <v>基础设施水平</v>
      </c>
      <c r="R18" s="1554" t="s">
        <v>8</v>
      </c>
      <c r="S18" s="1555">
        <f>F18</f>
        <v>100</v>
      </c>
      <c r="T18" s="1554" t="s">
        <v>8</v>
      </c>
      <c r="U18" s="1555">
        <f>H18</f>
        <v>100</v>
      </c>
      <c r="V18" s="1554" t="s">
        <v>8</v>
      </c>
      <c r="W18" s="1555">
        <f>J18</f>
        <v>100</v>
      </c>
      <c r="X18" s="2540"/>
      <c r="Y18" s="3598"/>
      <c r="Z18" s="2539" t="str">
        <f>Q18</f>
        <v>基础设施水平</v>
      </c>
      <c r="AA18" s="1557">
        <f>D18/F18</f>
        <v>1</v>
      </c>
      <c r="AB18" s="1557">
        <f>D18/H18</f>
        <v>1</v>
      </c>
      <c r="AC18" s="1557">
        <f>D18/J18</f>
        <v>1</v>
      </c>
    </row>
    <row r="19" spans="1:29" ht="15">
      <c r="A19" s="512"/>
      <c r="B19" s="575"/>
      <c r="C19" s="870"/>
      <c r="D19" s="556"/>
      <c r="E19" s="573"/>
      <c r="F19" s="554"/>
      <c r="G19" s="573"/>
      <c r="H19" s="552"/>
      <c r="I19" s="573"/>
      <c r="J19" s="552"/>
      <c r="K19" s="2561"/>
      <c r="L19" s="2122"/>
      <c r="M19" s="2114"/>
      <c r="N19" s="2114"/>
      <c r="O19" s="2121"/>
      <c r="P19" s="3598"/>
      <c r="Q19" s="2538"/>
      <c r="R19" s="1554"/>
      <c r="S19" s="1555"/>
      <c r="T19" s="1554"/>
      <c r="U19" s="1555"/>
      <c r="V19" s="1554"/>
      <c r="W19" s="1555"/>
      <c r="X19" s="2540"/>
      <c r="Y19" s="3598"/>
      <c r="Z19" s="2539"/>
      <c r="AA19" s="1557">
        <v>1</v>
      </c>
      <c r="AB19" s="1557">
        <v>1</v>
      </c>
      <c r="AC19" s="1557">
        <v>1</v>
      </c>
    </row>
    <row r="20" spans="1:29" ht="82.8">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598"/>
      <c r="Q20" s="1553" t="str">
        <f>B20</f>
        <v>自然及人文环境</v>
      </c>
      <c r="R20" s="1554" t="s">
        <v>8</v>
      </c>
      <c r="S20" s="1555">
        <f>F20</f>
        <v>100</v>
      </c>
      <c r="T20" s="1554" t="s">
        <v>8</v>
      </c>
      <c r="U20" s="1555">
        <f>H20</f>
        <v>100</v>
      </c>
      <c r="V20" s="1554" t="s">
        <v>8</v>
      </c>
      <c r="W20" s="1555">
        <f>J20</f>
        <v>100</v>
      </c>
      <c r="X20" s="1548"/>
      <c r="Y20" s="3598"/>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2"/>
      <c r="M21" s="2114"/>
      <c r="N21" s="2114"/>
      <c r="O21" s="2121"/>
      <c r="P21" s="3598"/>
      <c r="Q21" s="1553"/>
      <c r="R21" s="1554"/>
      <c r="S21" s="1555"/>
      <c r="T21" s="1554"/>
      <c r="U21" s="1555"/>
      <c r="V21" s="1554"/>
      <c r="W21" s="1555"/>
      <c r="X21" s="1548"/>
      <c r="Y21" s="3598"/>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598"/>
      <c r="Q22" s="1553" t="str">
        <f>B22</f>
        <v>楼层</v>
      </c>
      <c r="R22" s="1554" t="s">
        <v>8</v>
      </c>
      <c r="S22" s="1555">
        <f>F22</f>
        <v>100</v>
      </c>
      <c r="T22" s="1554" t="s">
        <v>8</v>
      </c>
      <c r="U22" s="1555">
        <f>H22</f>
        <v>100</v>
      </c>
      <c r="V22" s="1554" t="s">
        <v>8</v>
      </c>
      <c r="W22" s="1555">
        <f>J22</f>
        <v>100</v>
      </c>
      <c r="X22" s="1548"/>
      <c r="Y22" s="3598"/>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598"/>
      <c r="Q23" s="1553">
        <f>B23</f>
        <v>111</v>
      </c>
      <c r="R23" s="1554" t="s">
        <v>8</v>
      </c>
      <c r="S23" s="1555">
        <f>F23</f>
        <v>100</v>
      </c>
      <c r="T23" s="1554" t="s">
        <v>8</v>
      </c>
      <c r="U23" s="1555">
        <f>H23</f>
        <v>100</v>
      </c>
      <c r="V23" s="1554" t="s">
        <v>8</v>
      </c>
      <c r="W23" s="1555">
        <f>J23</f>
        <v>100</v>
      </c>
      <c r="X23" s="1548"/>
      <c r="Y23" s="3598"/>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598"/>
      <c r="Q24" s="1553">
        <f t="shared" ref="Q24:Q36" si="8">B24</f>
        <v>111</v>
      </c>
      <c r="R24" s="1554" t="s">
        <v>8</v>
      </c>
      <c r="S24" s="1555">
        <f>F24</f>
        <v>100</v>
      </c>
      <c r="T24" s="1554" t="s">
        <v>8</v>
      </c>
      <c r="U24" s="1555">
        <f>H24</f>
        <v>100</v>
      </c>
      <c r="V24" s="1554" t="s">
        <v>8</v>
      </c>
      <c r="W24" s="1555">
        <f>J24</f>
        <v>100</v>
      </c>
      <c r="X24" s="1548"/>
      <c r="Y24" s="3598"/>
      <c r="Z24" s="1556">
        <f>Q24</f>
        <v>111</v>
      </c>
      <c r="AA24" s="1557">
        <f t="shared" si="3"/>
        <v>1</v>
      </c>
      <c r="AB24" s="1557">
        <f t="shared" si="4"/>
        <v>1</v>
      </c>
      <c r="AC24" s="1557">
        <f t="shared" si="5"/>
        <v>1</v>
      </c>
    </row>
    <row r="25" spans="1:29" s="1212"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598"/>
      <c r="Q25" s="1143">
        <f t="shared" si="8"/>
        <v>111</v>
      </c>
      <c r="R25" s="1549" t="s">
        <v>8</v>
      </c>
      <c r="S25" s="1550">
        <f>F25</f>
        <v>100</v>
      </c>
      <c r="T25" s="1549" t="s">
        <v>8</v>
      </c>
      <c r="U25" s="1550">
        <f>H25</f>
        <v>100</v>
      </c>
      <c r="V25" s="1549" t="s">
        <v>8</v>
      </c>
      <c r="W25" s="1550">
        <f>J25</f>
        <v>100</v>
      </c>
      <c r="X25" s="1551"/>
      <c r="Y25" s="3598"/>
      <c r="Z25" s="1142">
        <f>Q25</f>
        <v>111</v>
      </c>
      <c r="AA25" s="1557">
        <f>D25/F25</f>
        <v>1</v>
      </c>
      <c r="AB25" s="1557">
        <f>D25/H25</f>
        <v>1</v>
      </c>
      <c r="AC25" s="1557">
        <f>D25/J25</f>
        <v>1</v>
      </c>
    </row>
    <row r="26" spans="1:29" ht="15">
      <c r="A26" s="2857"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599" t="s">
        <v>550</v>
      </c>
      <c r="Q26" s="1553" t="str">
        <f t="shared" si="8"/>
        <v>配套类型</v>
      </c>
      <c r="R26" s="1554" t="s">
        <v>8</v>
      </c>
      <c r="S26" s="1555">
        <f t="shared" ref="S26:S36" si="9">F26</f>
        <v>100</v>
      </c>
      <c r="T26" s="1554" t="s">
        <v>8</v>
      </c>
      <c r="U26" s="1555">
        <f t="shared" ref="U26:U36" si="10">H26</f>
        <v>100</v>
      </c>
      <c r="V26" s="1554" t="s">
        <v>8</v>
      </c>
      <c r="W26" s="1555">
        <f t="shared" ref="W26:W36" si="11">J26</f>
        <v>100</v>
      </c>
      <c r="X26" s="1548"/>
      <c r="Y26" s="3600" t="s">
        <v>550</v>
      </c>
      <c r="Z26" s="1556" t="str">
        <f t="shared" ref="Z26:Z36" si="12">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600"/>
      <c r="Q27" s="1585" t="str">
        <f t="shared" si="8"/>
        <v>项目停车位配比</v>
      </c>
      <c r="R27" s="1558" t="s">
        <v>8</v>
      </c>
      <c r="S27" s="1559">
        <f t="shared" si="9"/>
        <v>100</v>
      </c>
      <c r="T27" s="1558" t="s">
        <v>8</v>
      </c>
      <c r="U27" s="1559">
        <f t="shared" si="10"/>
        <v>100</v>
      </c>
      <c r="V27" s="1558" t="s">
        <v>8</v>
      </c>
      <c r="W27" s="1559">
        <f t="shared" si="11"/>
        <v>100</v>
      </c>
      <c r="X27" s="1560"/>
      <c r="Y27" s="3600"/>
      <c r="Z27" s="1561" t="str">
        <f t="shared" si="12"/>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600"/>
      <c r="Q28" s="1553" t="str">
        <f t="shared" si="8"/>
        <v>公共部分装修</v>
      </c>
      <c r="R28" s="1554" t="s">
        <v>8</v>
      </c>
      <c r="S28" s="1555">
        <f t="shared" si="9"/>
        <v>100</v>
      </c>
      <c r="T28" s="1554" t="s">
        <v>8</v>
      </c>
      <c r="U28" s="1555">
        <f t="shared" si="10"/>
        <v>100</v>
      </c>
      <c r="V28" s="1554" t="s">
        <v>8</v>
      </c>
      <c r="W28" s="1555">
        <f t="shared" si="11"/>
        <v>100</v>
      </c>
      <c r="X28" s="1548"/>
      <c r="Y28" s="3600"/>
      <c r="Z28" s="1556" t="str">
        <f t="shared" si="12"/>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600"/>
      <c r="Q29" s="1553" t="str">
        <f t="shared" si="8"/>
        <v>成新率</v>
      </c>
      <c r="R29" s="1554" t="s">
        <v>8</v>
      </c>
      <c r="S29" s="1555" t="e">
        <f t="shared" si="9"/>
        <v>#N/A</v>
      </c>
      <c r="T29" s="1554" t="s">
        <v>8</v>
      </c>
      <c r="U29" s="1555" t="e">
        <f t="shared" si="10"/>
        <v>#N/A</v>
      </c>
      <c r="V29" s="1554" t="s">
        <v>8</v>
      </c>
      <c r="W29" s="1555" t="e">
        <f t="shared" si="11"/>
        <v>#N/A</v>
      </c>
      <c r="X29" s="1548"/>
      <c r="Y29" s="3600"/>
      <c r="Z29" s="1556" t="str">
        <f t="shared" si="12"/>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600"/>
      <c r="Q30" s="1553" t="str">
        <f t="shared" si="8"/>
        <v>物业等级</v>
      </c>
      <c r="R30" s="1554" t="s">
        <v>8</v>
      </c>
      <c r="S30" s="1555">
        <f t="shared" si="9"/>
        <v>100</v>
      </c>
      <c r="T30" s="1554" t="s">
        <v>8</v>
      </c>
      <c r="U30" s="1555">
        <f t="shared" si="10"/>
        <v>100</v>
      </c>
      <c r="V30" s="1554" t="s">
        <v>8</v>
      </c>
      <c r="W30" s="1555">
        <f t="shared" si="11"/>
        <v>100</v>
      </c>
      <c r="X30" s="1548"/>
      <c r="Y30" s="3600"/>
      <c r="Z30" s="1556" t="str">
        <f t="shared" si="12"/>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600"/>
      <c r="Q31" s="1143" t="str">
        <f t="shared" si="8"/>
        <v>停车位面积</v>
      </c>
      <c r="R31" s="1549" t="s">
        <v>8</v>
      </c>
      <c r="S31" s="1550" t="e">
        <f t="shared" si="9"/>
        <v>#N/A</v>
      </c>
      <c r="T31" s="1549" t="s">
        <v>8</v>
      </c>
      <c r="U31" s="1550" t="e">
        <f t="shared" si="10"/>
        <v>#N/A</v>
      </c>
      <c r="V31" s="1549" t="s">
        <v>8</v>
      </c>
      <c r="W31" s="1550" t="e">
        <f t="shared" si="11"/>
        <v>#N/A</v>
      </c>
      <c r="X31" s="1551"/>
      <c r="Y31" s="3600"/>
      <c r="Z31" s="1142" t="str">
        <f t="shared" si="12"/>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600" t="s">
        <v>550</v>
      </c>
      <c r="Q32" s="1553" t="str">
        <f t="shared" si="8"/>
        <v>车位类型</v>
      </c>
      <c r="R32" s="1554" t="s">
        <v>8</v>
      </c>
      <c r="S32" s="1555">
        <f t="shared" si="9"/>
        <v>100</v>
      </c>
      <c r="T32" s="1554" t="s">
        <v>8</v>
      </c>
      <c r="U32" s="1555">
        <f t="shared" si="10"/>
        <v>100</v>
      </c>
      <c r="V32" s="1554" t="s">
        <v>8</v>
      </c>
      <c r="W32" s="1555">
        <f t="shared" si="11"/>
        <v>100</v>
      </c>
      <c r="X32" s="1548"/>
      <c r="Y32" s="3600" t="s">
        <v>550</v>
      </c>
      <c r="Z32" s="1556" t="str">
        <f t="shared" si="12"/>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600"/>
      <c r="Q33" s="1553" t="str">
        <f t="shared" si="8"/>
        <v>是否直接入户</v>
      </c>
      <c r="R33" s="1554" t="s">
        <v>8</v>
      </c>
      <c r="S33" s="1555">
        <f t="shared" si="9"/>
        <v>100</v>
      </c>
      <c r="T33" s="1554" t="s">
        <v>8</v>
      </c>
      <c r="U33" s="1555">
        <f t="shared" si="10"/>
        <v>100</v>
      </c>
      <c r="V33" s="1554" t="s">
        <v>8</v>
      </c>
      <c r="W33" s="1555">
        <f t="shared" si="11"/>
        <v>100</v>
      </c>
      <c r="X33" s="1548"/>
      <c r="Y33" s="3600"/>
      <c r="Z33" s="1556" t="str">
        <f t="shared" si="12"/>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600"/>
      <c r="Q34" s="1553">
        <f t="shared" si="8"/>
        <v>111</v>
      </c>
      <c r="R34" s="1554" t="s">
        <v>8</v>
      </c>
      <c r="S34" s="1555">
        <f t="shared" si="9"/>
        <v>100</v>
      </c>
      <c r="T34" s="1554" t="s">
        <v>8</v>
      </c>
      <c r="U34" s="1555">
        <f t="shared" si="10"/>
        <v>100</v>
      </c>
      <c r="V34" s="1554" t="s">
        <v>8</v>
      </c>
      <c r="W34" s="1555">
        <f t="shared" si="11"/>
        <v>100</v>
      </c>
      <c r="X34" s="1548"/>
      <c r="Y34" s="3600"/>
      <c r="Z34" s="1556">
        <f t="shared" si="12"/>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600"/>
      <c r="Q35" s="1585">
        <f t="shared" si="8"/>
        <v>111</v>
      </c>
      <c r="R35" s="1558" t="s">
        <v>8</v>
      </c>
      <c r="S35" s="1559">
        <f t="shared" si="9"/>
        <v>100</v>
      </c>
      <c r="T35" s="1558" t="s">
        <v>8</v>
      </c>
      <c r="U35" s="1559">
        <f t="shared" si="10"/>
        <v>100</v>
      </c>
      <c r="V35" s="1558" t="s">
        <v>8</v>
      </c>
      <c r="W35" s="1559">
        <f t="shared" si="11"/>
        <v>100</v>
      </c>
      <c r="X35" s="1560"/>
      <c r="Y35" s="3600"/>
      <c r="Z35" s="1561">
        <f t="shared" si="12"/>
        <v>111</v>
      </c>
      <c r="AA35" s="1557">
        <f t="shared" si="3"/>
        <v>1</v>
      </c>
      <c r="AB35" s="1557">
        <f t="shared" si="4"/>
        <v>1</v>
      </c>
      <c r="AC35" s="1557">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600"/>
      <c r="Q36" s="1553">
        <f t="shared" si="8"/>
        <v>111</v>
      </c>
      <c r="R36" s="1554" t="s">
        <v>8</v>
      </c>
      <c r="S36" s="1555">
        <f t="shared" si="9"/>
        <v>100</v>
      </c>
      <c r="T36" s="1554" t="s">
        <v>8</v>
      </c>
      <c r="U36" s="1555">
        <f t="shared" si="10"/>
        <v>100</v>
      </c>
      <c r="V36" s="1554" t="s">
        <v>8</v>
      </c>
      <c r="W36" s="1555">
        <f t="shared" si="11"/>
        <v>100</v>
      </c>
      <c r="X36" s="1548"/>
      <c r="Y36" s="3600"/>
      <c r="Z36" s="1556">
        <f t="shared" si="12"/>
        <v>111</v>
      </c>
      <c r="AA36" s="1557">
        <f t="shared" si="3"/>
        <v>1</v>
      </c>
      <c r="AB36" s="1557">
        <f t="shared" si="4"/>
        <v>1</v>
      </c>
      <c r="AC36" s="1557">
        <f t="shared" si="5"/>
        <v>1</v>
      </c>
    </row>
    <row r="37" spans="1:29" ht="14.4">
      <c r="A37" s="1826" t="s">
        <v>2075</v>
      </c>
      <c r="B37" s="1827" t="s">
        <v>2076</v>
      </c>
      <c r="C37" s="2586" t="s">
        <v>1</v>
      </c>
      <c r="D37" s="2587"/>
      <c r="E37" s="2588"/>
      <c r="F37" s="2589"/>
      <c r="G37" s="2590"/>
      <c r="H37" s="2591"/>
      <c r="I37" s="2588"/>
      <c r="J37" s="2591"/>
      <c r="K37" s="1591"/>
      <c r="L37" s="2124"/>
      <c r="M37" s="2125"/>
      <c r="N37" s="2114"/>
      <c r="O37" s="2125"/>
      <c r="P37" s="3562" t="str">
        <f>A37</f>
        <v>成交单价</v>
      </c>
      <c r="Q37" s="3562"/>
      <c r="R37" s="3639">
        <f>E37</f>
        <v>0</v>
      </c>
      <c r="S37" s="3639"/>
      <c r="T37" s="3639">
        <f>G37</f>
        <v>0</v>
      </c>
      <c r="U37" s="3639"/>
      <c r="V37" s="3639">
        <f>I37</f>
        <v>0</v>
      </c>
      <c r="W37" s="3639"/>
      <c r="X37" s="1540"/>
      <c r="Y37" s="1562"/>
      <c r="Z37" s="1540"/>
      <c r="AA37" s="1540"/>
      <c r="AB37" s="1540"/>
      <c r="AC37" s="1540"/>
    </row>
    <row r="38" spans="1:29" ht="15" thickBot="1">
      <c r="A38" s="612" t="s">
        <v>2756</v>
      </c>
      <c r="B38" s="884"/>
      <c r="C38" s="2592" t="e">
        <f>R39</f>
        <v>#DIV/0!</v>
      </c>
      <c r="D38" s="2593"/>
      <c r="E38" s="2594" t="e">
        <f>R38</f>
        <v>#DIV/0!</v>
      </c>
      <c r="F38" s="2594"/>
      <c r="G38" s="2592" t="e">
        <f>T38</f>
        <v>#DIV/0!</v>
      </c>
      <c r="H38" s="2593"/>
      <c r="I38" s="2594" t="e">
        <f>V38</f>
        <v>#DIV/0!</v>
      </c>
      <c r="J38" s="2593"/>
      <c r="K38" s="1592"/>
      <c r="L38" s="2124"/>
      <c r="M38" s="2125"/>
      <c r="N38" s="2125"/>
      <c r="O38" s="2125"/>
      <c r="P38" s="3562" t="str">
        <f>A38</f>
        <v>比较价格（元/平方米）</v>
      </c>
      <c r="Q38" s="3562"/>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540"/>
      <c r="Y38" s="1540"/>
      <c r="Z38" s="1540"/>
      <c r="AA38" s="1540"/>
      <c r="AB38" s="1540"/>
      <c r="AC38" s="1540"/>
    </row>
    <row r="39" spans="1:29" ht="15" thickBot="1">
      <c r="A39" s="618" t="s">
        <v>2928</v>
      </c>
      <c r="B39" s="619"/>
      <c r="C39" s="2595" t="e">
        <f>R39</f>
        <v>#DIV/0!</v>
      </c>
      <c r="D39" s="2595"/>
      <c r="E39" s="2595"/>
      <c r="F39" s="2595"/>
      <c r="G39" s="2595"/>
      <c r="H39" s="2595"/>
      <c r="I39" s="2595"/>
      <c r="J39" s="2595"/>
      <c r="K39" s="1593"/>
      <c r="L39" s="2124"/>
      <c r="M39" s="2125"/>
      <c r="N39" s="2125"/>
      <c r="O39" s="2125"/>
      <c r="P39" s="3559" t="str">
        <f>A39</f>
        <v>估价对象XX用房的比较价格（楼面单价，元/平方米）</v>
      </c>
      <c r="Q39" s="3560"/>
      <c r="R39" s="3638" t="e">
        <f>IF(F1="售价",ROUND(AVERAGE(R38:V38),0),ROUND(AVERAGE(R38:V38),1))</f>
        <v>#DIV/0!</v>
      </c>
      <c r="S39" s="3638"/>
      <c r="T39" s="3638"/>
      <c r="U39" s="3638"/>
      <c r="V39" s="3638"/>
      <c r="W39" s="3638"/>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2.2"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4.4">
      <c r="A48" s="642" t="s">
        <v>529</v>
      </c>
      <c r="B48" s="643"/>
      <c r="C48" s="2752" t="str">
        <f>YEAR(C7)&amp;"-"&amp;MONTH(C7)</f>
        <v>2020-7</v>
      </c>
      <c r="D48" s="2754">
        <f>EDATE(C48,-1)</f>
        <v>43983</v>
      </c>
      <c r="E48" s="2754">
        <f t="shared" ref="E48:O48" si="13">EDATE(D48,-1)</f>
        <v>43952</v>
      </c>
      <c r="F48" s="2754">
        <f t="shared" si="13"/>
        <v>43922</v>
      </c>
      <c r="G48" s="2754">
        <f t="shared" si="13"/>
        <v>43891</v>
      </c>
      <c r="H48" s="2754">
        <f t="shared" si="13"/>
        <v>43862</v>
      </c>
      <c r="I48" s="2754">
        <f t="shared" si="13"/>
        <v>43831</v>
      </c>
      <c r="J48" s="2754">
        <f t="shared" si="13"/>
        <v>43800</v>
      </c>
      <c r="K48" s="2754">
        <f t="shared" si="13"/>
        <v>43770</v>
      </c>
      <c r="L48" s="2754">
        <f t="shared" si="13"/>
        <v>43739</v>
      </c>
      <c r="M48" s="2754">
        <f t="shared" si="13"/>
        <v>43709</v>
      </c>
      <c r="N48" s="2754">
        <f t="shared" si="13"/>
        <v>43678</v>
      </c>
      <c r="O48" s="2754">
        <f t="shared" si="13"/>
        <v>43647</v>
      </c>
      <c r="P48" s="2140"/>
      <c r="Q48" s="2141"/>
      <c r="R48" s="2141"/>
      <c r="S48" s="2141"/>
      <c r="T48" s="2141"/>
      <c r="U48" s="2141"/>
      <c r="V48" s="2141"/>
      <c r="W48" s="2141"/>
      <c r="X48" s="2141"/>
      <c r="Y48" s="2141"/>
      <c r="Z48" s="2141"/>
      <c r="AA48" s="2141"/>
      <c r="AB48" s="2141"/>
      <c r="AC48" s="2141"/>
    </row>
    <row r="49" spans="1:29" s="1212" customFormat="1">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4.4">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4.4"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ht="14.4">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4.4"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4.4"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4.4"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4.4"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4.4"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4.4"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1876" t="s">
        <v>2554</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2556" t="s">
        <v>2555</v>
      </c>
      <c r="C67" s="2557" t="s">
        <v>2556</v>
      </c>
      <c r="D67" s="2557" t="s">
        <v>2557</v>
      </c>
      <c r="E67" s="2557" t="s">
        <v>2558</v>
      </c>
      <c r="F67" s="2557" t="s">
        <v>2559</v>
      </c>
      <c r="G67" s="2557" t="s">
        <v>2560</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4.4"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4.4"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4.4"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4.4"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4.4"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9.4"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v>100</v>
      </c>
      <c r="D80" s="676">
        <f t="shared" ref="D80:M80" si="14">C80-$K26</f>
        <v>100</v>
      </c>
      <c r="E80" s="676">
        <f t="shared" si="14"/>
        <v>100</v>
      </c>
      <c r="F80" s="676">
        <f t="shared" si="14"/>
        <v>100</v>
      </c>
      <c r="G80" s="676">
        <f t="shared" si="14"/>
        <v>100</v>
      </c>
      <c r="H80" s="676">
        <f t="shared" si="14"/>
        <v>100</v>
      </c>
      <c r="I80" s="676">
        <f t="shared" si="14"/>
        <v>100</v>
      </c>
      <c r="J80" s="676">
        <f t="shared" si="14"/>
        <v>100</v>
      </c>
      <c r="K80" s="676">
        <f t="shared" si="14"/>
        <v>100</v>
      </c>
      <c r="L80" s="676">
        <f t="shared" si="14"/>
        <v>100</v>
      </c>
      <c r="M80" s="677">
        <f t="shared" si="14"/>
        <v>100</v>
      </c>
      <c r="N80" s="2146"/>
      <c r="O80" s="2146"/>
      <c r="P80" s="2145"/>
      <c r="Q80" s="2138"/>
      <c r="R80" s="2125"/>
      <c r="S80" s="2125"/>
      <c r="T80" s="2125"/>
      <c r="U80" s="2125"/>
      <c r="V80" s="2125"/>
      <c r="W80" s="2125"/>
      <c r="X80" s="2125"/>
      <c r="Y80" s="2125"/>
      <c r="Z80" s="2125"/>
      <c r="AA80" s="2125"/>
      <c r="AB80" s="2125"/>
      <c r="AC80" s="2125"/>
    </row>
    <row r="81" spans="1:29" ht="1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4.4"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4.4" thickBot="1">
      <c r="A84" s="666"/>
      <c r="B84" s="675"/>
      <c r="C84" s="676">
        <v>100</v>
      </c>
      <c r="D84" s="676">
        <f t="shared" ref="D84:M84" si="15">C84-$K28</f>
        <v>100</v>
      </c>
      <c r="E84" s="676">
        <f t="shared" si="15"/>
        <v>100</v>
      </c>
      <c r="F84" s="676">
        <f t="shared" si="15"/>
        <v>100</v>
      </c>
      <c r="G84" s="676">
        <f t="shared" si="15"/>
        <v>100</v>
      </c>
      <c r="H84" s="676">
        <f t="shared" si="15"/>
        <v>100</v>
      </c>
      <c r="I84" s="676">
        <f t="shared" si="15"/>
        <v>100</v>
      </c>
      <c r="J84" s="676">
        <f t="shared" si="15"/>
        <v>100</v>
      </c>
      <c r="K84" s="676">
        <f t="shared" si="15"/>
        <v>100</v>
      </c>
      <c r="L84" s="676">
        <f t="shared" si="15"/>
        <v>100</v>
      </c>
      <c r="M84" s="677">
        <f t="shared" si="15"/>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4.4" thickBot="1">
      <c r="A87" s="666"/>
      <c r="B87" s="675"/>
      <c r="C87" s="709">
        <v>100</v>
      </c>
      <c r="D87" s="676">
        <f>C87+$K$29</f>
        <v>100</v>
      </c>
      <c r="E87" s="676">
        <f t="shared" ref="E87:M87" si="16">D87+$K$29</f>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709">
        <v>100</v>
      </c>
      <c r="D89" s="676">
        <f t="shared" ref="D89:M89" si="17">C89+$K30</f>
        <v>100</v>
      </c>
      <c r="E89" s="676">
        <f t="shared" si="17"/>
        <v>100</v>
      </c>
      <c r="F89" s="676">
        <f t="shared" si="17"/>
        <v>100</v>
      </c>
      <c r="G89" s="676">
        <f t="shared" si="17"/>
        <v>100</v>
      </c>
      <c r="H89" s="676">
        <f t="shared" si="17"/>
        <v>100</v>
      </c>
      <c r="I89" s="676">
        <f t="shared" si="17"/>
        <v>100</v>
      </c>
      <c r="J89" s="676">
        <f t="shared" si="17"/>
        <v>100</v>
      </c>
      <c r="K89" s="676">
        <f t="shared" si="17"/>
        <v>100</v>
      </c>
      <c r="L89" s="676">
        <f t="shared" si="17"/>
        <v>100</v>
      </c>
      <c r="M89" s="676">
        <f t="shared" si="17"/>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18">D91&amp;"(含)"&amp;"-"&amp;E91</f>
        <v>(含)-</v>
      </c>
      <c r="E90" s="705" t="str">
        <f t="shared" si="18"/>
        <v>(含)-</v>
      </c>
      <c r="F90" s="705" t="str">
        <f t="shared" si="18"/>
        <v>(含)-</v>
      </c>
      <c r="G90" s="705" t="str">
        <f t="shared" si="18"/>
        <v>(含)-</v>
      </c>
      <c r="H90" s="705" t="str">
        <f t="shared" si="18"/>
        <v>(含)-</v>
      </c>
      <c r="I90" s="705" t="str">
        <f t="shared" si="18"/>
        <v>(含)-</v>
      </c>
      <c r="J90" s="705" t="str">
        <f t="shared" si="18"/>
        <v>(含)-</v>
      </c>
      <c r="K90" s="705" t="str">
        <f t="shared" si="18"/>
        <v>(含)-</v>
      </c>
      <c r="L90" s="705" t="str">
        <f t="shared" si="18"/>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19">C94-$K32</f>
        <v>100</v>
      </c>
      <c r="E94" s="676">
        <f t="shared" si="19"/>
        <v>100</v>
      </c>
      <c r="F94" s="676">
        <f t="shared" si="19"/>
        <v>100</v>
      </c>
      <c r="G94" s="676">
        <f t="shared" si="19"/>
        <v>100</v>
      </c>
      <c r="H94" s="676">
        <f t="shared" si="19"/>
        <v>100</v>
      </c>
      <c r="I94" s="676">
        <f t="shared" si="19"/>
        <v>100</v>
      </c>
      <c r="J94" s="676">
        <f t="shared" si="19"/>
        <v>100</v>
      </c>
      <c r="K94" s="676">
        <f t="shared" si="19"/>
        <v>100</v>
      </c>
      <c r="L94" s="676">
        <f t="shared" si="19"/>
        <v>100</v>
      </c>
      <c r="M94" s="677">
        <f t="shared" si="19"/>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4.4"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4.4"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4.4"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4.4"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4.4"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4.4"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68" t="s">
        <v>798</v>
      </c>
      <c r="D4" s="3569"/>
      <c r="E4" s="3603" t="s">
        <v>799</v>
      </c>
      <c r="F4" s="3604"/>
      <c r="G4" s="3568" t="s">
        <v>800</v>
      </c>
      <c r="H4" s="3569"/>
      <c r="I4" s="3568" t="s">
        <v>801</v>
      </c>
      <c r="J4" s="3569"/>
      <c r="K4" s="511" t="s">
        <v>802</v>
      </c>
      <c r="L4" s="2113"/>
      <c r="M4" s="2114"/>
      <c r="N4" s="2114"/>
      <c r="O4" s="2114"/>
      <c r="P4" s="3570" t="s">
        <v>803</v>
      </c>
      <c r="Q4" s="3571"/>
      <c r="R4" s="3576" t="s">
        <v>799</v>
      </c>
      <c r="S4" s="3577"/>
      <c r="T4" s="3576" t="s">
        <v>800</v>
      </c>
      <c r="U4" s="3577"/>
      <c r="V4" s="3563" t="s">
        <v>801</v>
      </c>
      <c r="W4" s="3563"/>
      <c r="X4" s="1548"/>
      <c r="Y4" s="3576" t="s">
        <v>803</v>
      </c>
      <c r="Z4" s="3577"/>
      <c r="AA4" s="3565" t="s">
        <v>799</v>
      </c>
      <c r="AB4" s="3566" t="s">
        <v>800</v>
      </c>
      <c r="AC4" s="3565" t="s">
        <v>801</v>
      </c>
    </row>
    <row r="5" spans="1:29">
      <c r="A5" s="512"/>
      <c r="B5" s="513"/>
      <c r="C5" s="3584" t="s">
        <v>2922</v>
      </c>
      <c r="D5" s="3585"/>
      <c r="E5" s="3605" t="s">
        <v>2923</v>
      </c>
      <c r="F5" s="3606"/>
      <c r="G5" s="3584" t="s">
        <v>2924</v>
      </c>
      <c r="H5" s="3585"/>
      <c r="I5" s="3584" t="s">
        <v>2925</v>
      </c>
      <c r="J5" s="3585"/>
      <c r="K5" s="511"/>
      <c r="L5" s="2113"/>
      <c r="M5" s="2114"/>
      <c r="N5" s="2114"/>
      <c r="O5" s="2114"/>
      <c r="P5" s="3572"/>
      <c r="Q5" s="3573"/>
      <c r="R5" s="3578"/>
      <c r="S5" s="3579"/>
      <c r="T5" s="3578"/>
      <c r="U5" s="3579"/>
      <c r="V5" s="3563"/>
      <c r="W5" s="3563"/>
      <c r="X5" s="1548"/>
      <c r="Y5" s="3578"/>
      <c r="Z5" s="3579"/>
      <c r="AA5" s="3566"/>
      <c r="AB5" s="3566"/>
      <c r="AC5" s="3566"/>
    </row>
    <row r="6" spans="1:29" ht="15" thickBot="1">
      <c r="A6" s="514"/>
      <c r="B6" s="515"/>
      <c r="C6" s="3582" t="s">
        <v>2926</v>
      </c>
      <c r="D6" s="3583"/>
      <c r="E6" s="3601" t="s">
        <v>2926</v>
      </c>
      <c r="F6" s="3602"/>
      <c r="G6" s="3582" t="s">
        <v>2926</v>
      </c>
      <c r="H6" s="3583"/>
      <c r="I6" s="3582" t="s">
        <v>2926</v>
      </c>
      <c r="J6" s="3583"/>
      <c r="K6" s="511" t="s">
        <v>528</v>
      </c>
      <c r="L6" s="2113"/>
      <c r="M6" s="2114"/>
      <c r="N6" s="2114"/>
      <c r="O6" s="2114"/>
      <c r="P6" s="3574"/>
      <c r="Q6" s="3575"/>
      <c r="R6" s="3578"/>
      <c r="S6" s="3579"/>
      <c r="T6" s="3580"/>
      <c r="U6" s="3581"/>
      <c r="V6" s="3563"/>
      <c r="W6" s="3563"/>
      <c r="X6" s="1548"/>
      <c r="Y6" s="3580"/>
      <c r="Z6" s="3581"/>
      <c r="AA6" s="3567"/>
      <c r="AB6" s="3567"/>
      <c r="AC6" s="3567"/>
    </row>
    <row r="7" spans="1:29" s="1212" customFormat="1" ht="15" thickBot="1">
      <c r="A7" s="2861"/>
      <c r="B7" s="2868" t="s">
        <v>529</v>
      </c>
      <c r="C7" s="516">
        <f>'数据-取费表'!B2</f>
        <v>44027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594" t="s">
        <v>530</v>
      </c>
      <c r="Q7" s="3596"/>
      <c r="R7" s="1549" t="s">
        <v>8</v>
      </c>
      <c r="S7" s="1550">
        <f t="shared" ref="S7:S14" si="0">F7</f>
        <v>0</v>
      </c>
      <c r="T7" s="1549" t="s">
        <v>8</v>
      </c>
      <c r="U7" s="1550">
        <f t="shared" ref="U7:U14" si="1">H7</f>
        <v>0</v>
      </c>
      <c r="V7" s="1549" t="s">
        <v>8</v>
      </c>
      <c r="W7" s="1550">
        <f t="shared" ref="W7:W14" si="2">J7</f>
        <v>0</v>
      </c>
      <c r="X7" s="1551"/>
      <c r="Y7" s="3594" t="s">
        <v>530</v>
      </c>
      <c r="Z7" s="3595"/>
      <c r="AA7" s="1552" t="e">
        <f>D7/F7</f>
        <v>#DIV/0!</v>
      </c>
      <c r="AB7" s="1552" t="e">
        <f>D7/H7</f>
        <v>#DIV/0!</v>
      </c>
      <c r="AC7" s="1552" t="e">
        <f>D7/J7</f>
        <v>#DIV/0!</v>
      </c>
    </row>
    <row r="8" spans="1:29" s="1212" customFormat="1" ht="1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594" t="s">
        <v>533</v>
      </c>
      <c r="Q8" s="3595"/>
      <c r="R8" s="1549" t="s">
        <v>8</v>
      </c>
      <c r="S8" s="1550">
        <f t="shared" si="0"/>
        <v>0</v>
      </c>
      <c r="T8" s="1549" t="s">
        <v>8</v>
      </c>
      <c r="U8" s="1550">
        <f t="shared" si="1"/>
        <v>0</v>
      </c>
      <c r="V8" s="1549" t="s">
        <v>8</v>
      </c>
      <c r="W8" s="1550">
        <f t="shared" si="2"/>
        <v>0</v>
      </c>
      <c r="X8" s="1551"/>
      <c r="Y8" s="3594" t="s">
        <v>533</v>
      </c>
      <c r="Z8" s="3595"/>
      <c r="AA8" s="1552" t="e">
        <f t="shared" ref="AA8:AA34" si="3">D8/F8</f>
        <v>#DIV/0!</v>
      </c>
      <c r="AB8" s="1552" t="e">
        <f t="shared" ref="AB8:AB34" si="4">D8/H8</f>
        <v>#DIV/0!</v>
      </c>
      <c r="AC8" s="1552" t="e">
        <f t="shared" ref="AC8:AC34" si="5">D8/J8</f>
        <v>#DIV/0!</v>
      </c>
    </row>
    <row r="9" spans="1:29" s="1212" customFormat="1" ht="14.4">
      <c r="A9" s="2863"/>
      <c r="B9" s="2870" t="s">
        <v>2752</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562" t="s">
        <v>535</v>
      </c>
      <c r="Q9" s="1143" t="str">
        <f t="shared" ref="Q9:Q14" si="6">B9</f>
        <v>用途</v>
      </c>
      <c r="R9" s="1549" t="s">
        <v>8</v>
      </c>
      <c r="S9" s="1550">
        <f t="shared" si="0"/>
        <v>100</v>
      </c>
      <c r="T9" s="1549" t="s">
        <v>8</v>
      </c>
      <c r="U9" s="1550">
        <f t="shared" si="1"/>
        <v>100</v>
      </c>
      <c r="V9" s="1549" t="s">
        <v>8</v>
      </c>
      <c r="W9" s="1550">
        <f t="shared" si="2"/>
        <v>100</v>
      </c>
      <c r="X9" s="1551"/>
      <c r="Y9" s="3504"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562"/>
      <c r="Q10" s="1143" t="str">
        <f t="shared" si="6"/>
        <v>土地使用年限（年）</v>
      </c>
      <c r="R10" s="1549" t="s">
        <v>8</v>
      </c>
      <c r="S10" s="1550">
        <f t="shared" si="0"/>
        <v>100</v>
      </c>
      <c r="T10" s="1549" t="s">
        <v>8</v>
      </c>
      <c r="U10" s="1550">
        <f t="shared" si="1"/>
        <v>100</v>
      </c>
      <c r="V10" s="1549" t="s">
        <v>8</v>
      </c>
      <c r="W10" s="1550">
        <f t="shared" si="2"/>
        <v>100</v>
      </c>
      <c r="X10" s="1551"/>
      <c r="Y10" s="3504"/>
      <c r="Z10" s="1142" t="str">
        <f t="shared" si="7"/>
        <v>土地使用年限（年）</v>
      </c>
      <c r="AA10" s="1552">
        <f t="shared" si="3"/>
        <v>1</v>
      </c>
      <c r="AB10" s="1552">
        <f t="shared" si="4"/>
        <v>1</v>
      </c>
      <c r="AC10" s="1552">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562"/>
      <c r="Q11" s="1143">
        <f t="shared" si="6"/>
        <v>111</v>
      </c>
      <c r="R11" s="1549" t="s">
        <v>8</v>
      </c>
      <c r="S11" s="1550">
        <f t="shared" si="0"/>
        <v>100</v>
      </c>
      <c r="T11" s="1549" t="s">
        <v>8</v>
      </c>
      <c r="U11" s="1550">
        <f t="shared" si="1"/>
        <v>100</v>
      </c>
      <c r="V11" s="1549" t="s">
        <v>8</v>
      </c>
      <c r="W11" s="1550">
        <f t="shared" si="2"/>
        <v>100</v>
      </c>
      <c r="X11" s="1551"/>
      <c r="Y11" s="3504"/>
      <c r="Z11" s="1142">
        <f t="shared" si="7"/>
        <v>111</v>
      </c>
      <c r="AA11" s="1552">
        <f t="shared" si="3"/>
        <v>1</v>
      </c>
      <c r="AB11" s="1552">
        <f t="shared" si="4"/>
        <v>1</v>
      </c>
      <c r="AC11" s="1552">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562"/>
      <c r="Q12" s="1143">
        <f t="shared" si="6"/>
        <v>111</v>
      </c>
      <c r="R12" s="1549" t="s">
        <v>8</v>
      </c>
      <c r="S12" s="1550">
        <f t="shared" si="0"/>
        <v>100</v>
      </c>
      <c r="T12" s="1549" t="s">
        <v>8</v>
      </c>
      <c r="U12" s="1550">
        <f t="shared" si="1"/>
        <v>100</v>
      </c>
      <c r="V12" s="1549" t="s">
        <v>8</v>
      </c>
      <c r="W12" s="1550">
        <f t="shared" si="2"/>
        <v>100</v>
      </c>
      <c r="X12" s="1551"/>
      <c r="Y12" s="3504"/>
      <c r="Z12" s="1142">
        <f t="shared" si="7"/>
        <v>111</v>
      </c>
      <c r="AA12" s="1552">
        <f>D12/F12</f>
        <v>1</v>
      </c>
      <c r="AB12" s="1552">
        <f>D12/H12</f>
        <v>1</v>
      </c>
      <c r="AC12" s="1552">
        <f>D12/J12</f>
        <v>1</v>
      </c>
    </row>
    <row r="13" spans="1:29" ht="15.6"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562"/>
      <c r="Q13" s="1143">
        <f t="shared" si="6"/>
        <v>111</v>
      </c>
      <c r="R13" s="1549" t="s">
        <v>8</v>
      </c>
      <c r="S13" s="1550">
        <f t="shared" si="0"/>
        <v>100</v>
      </c>
      <c r="T13" s="1549" t="s">
        <v>8</v>
      </c>
      <c r="U13" s="1550">
        <f t="shared" si="1"/>
        <v>100</v>
      </c>
      <c r="V13" s="1549" t="s">
        <v>8</v>
      </c>
      <c r="W13" s="1550">
        <f t="shared" si="2"/>
        <v>100</v>
      </c>
      <c r="X13" s="1551"/>
      <c r="Y13" s="3504"/>
      <c r="Z13" s="1142">
        <f t="shared" si="7"/>
        <v>111</v>
      </c>
      <c r="AA13" s="1552">
        <f t="shared" si="3"/>
        <v>1</v>
      </c>
      <c r="AB13" s="1552">
        <f t="shared" si="4"/>
        <v>1</v>
      </c>
      <c r="AC13" s="1552">
        <f t="shared" si="5"/>
        <v>1</v>
      </c>
    </row>
    <row r="14" spans="1:29" ht="138">
      <c r="A14" s="2859"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597" t="s">
        <v>540</v>
      </c>
      <c r="Q14" s="1553" t="str">
        <f t="shared" si="6"/>
        <v>交通便捷度</v>
      </c>
      <c r="R14" s="1554" t="s">
        <v>8</v>
      </c>
      <c r="S14" s="1555">
        <f t="shared" si="0"/>
        <v>100</v>
      </c>
      <c r="T14" s="1554" t="s">
        <v>8</v>
      </c>
      <c r="U14" s="1555">
        <f t="shared" si="1"/>
        <v>100</v>
      </c>
      <c r="V14" s="1554" t="s">
        <v>8</v>
      </c>
      <c r="W14" s="1555">
        <f t="shared" si="2"/>
        <v>100</v>
      </c>
      <c r="X14" s="1548"/>
      <c r="Y14" s="3597"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2"/>
      <c r="M15" s="2114"/>
      <c r="N15" s="2114"/>
      <c r="O15" s="2121"/>
      <c r="P15" s="3598"/>
      <c r="Q15" s="1553"/>
      <c r="R15" s="1554"/>
      <c r="S15" s="1555"/>
      <c r="T15" s="1554"/>
      <c r="U15" s="1555"/>
      <c r="V15" s="1554"/>
      <c r="W15" s="1555"/>
      <c r="X15" s="1548"/>
      <c r="Y15" s="3598"/>
      <c r="Z15" s="1556"/>
      <c r="AA15" s="1557">
        <v>1</v>
      </c>
      <c r="AB15" s="1557">
        <v>1</v>
      </c>
      <c r="AC15" s="1557">
        <v>1</v>
      </c>
    </row>
    <row r="16" spans="1:29" ht="55.2">
      <c r="A16" s="529"/>
      <c r="B16" s="2562"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598"/>
      <c r="Q16" s="1553" t="str">
        <f>B16</f>
        <v>公共配套设施</v>
      </c>
      <c r="R16" s="1554" t="s">
        <v>8</v>
      </c>
      <c r="S16" s="1555">
        <f>F16</f>
        <v>100</v>
      </c>
      <c r="T16" s="1554" t="s">
        <v>8</v>
      </c>
      <c r="U16" s="1555">
        <f>H16</f>
        <v>100</v>
      </c>
      <c r="V16" s="1554" t="s">
        <v>8</v>
      </c>
      <c r="W16" s="1555">
        <f>J16</f>
        <v>100</v>
      </c>
      <c r="X16" s="1548"/>
      <c r="Y16" s="3598"/>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2"/>
      <c r="M17" s="2114"/>
      <c r="N17" s="2114"/>
      <c r="O17" s="2121"/>
      <c r="P17" s="3598"/>
      <c r="Q17" s="1553"/>
      <c r="R17" s="1554"/>
      <c r="S17" s="1555"/>
      <c r="T17" s="1554"/>
      <c r="U17" s="1555"/>
      <c r="V17" s="1554"/>
      <c r="W17" s="1555"/>
      <c r="X17" s="1548"/>
      <c r="Y17" s="3598"/>
      <c r="Z17" s="1556"/>
      <c r="AA17" s="1557">
        <v>1</v>
      </c>
      <c r="AB17" s="1557">
        <v>1</v>
      </c>
      <c r="AC17" s="1557">
        <v>1</v>
      </c>
    </row>
    <row r="18" spans="1:29" ht="41.4">
      <c r="A18" s="529"/>
      <c r="B18" s="2550"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598"/>
      <c r="Q18" s="2538" t="str">
        <f>B18</f>
        <v>基础设施水平</v>
      </c>
      <c r="R18" s="1554" t="s">
        <v>8</v>
      </c>
      <c r="S18" s="1555">
        <f>F18</f>
        <v>100</v>
      </c>
      <c r="T18" s="1554" t="s">
        <v>8</v>
      </c>
      <c r="U18" s="1555">
        <f>H18</f>
        <v>100</v>
      </c>
      <c r="V18" s="1554" t="s">
        <v>8</v>
      </c>
      <c r="W18" s="1555">
        <f>J18</f>
        <v>100</v>
      </c>
      <c r="X18" s="2540"/>
      <c r="Y18" s="3598"/>
      <c r="Z18" s="2539" t="str">
        <f>Q18</f>
        <v>基础设施水平</v>
      </c>
      <c r="AA18" s="1557">
        <f>D18/F18</f>
        <v>1</v>
      </c>
      <c r="AB18" s="1557">
        <f>D18/H18</f>
        <v>1</v>
      </c>
      <c r="AC18" s="1557">
        <f>D18/J18</f>
        <v>1</v>
      </c>
    </row>
    <row r="19" spans="1:29" ht="15">
      <c r="A19" s="529"/>
      <c r="B19" s="575"/>
      <c r="C19" s="870"/>
      <c r="D19" s="556"/>
      <c r="E19" s="870"/>
      <c r="F19" s="560"/>
      <c r="G19" s="870"/>
      <c r="H19" s="552"/>
      <c r="I19" s="573"/>
      <c r="J19" s="552"/>
      <c r="K19" s="2561"/>
      <c r="L19" s="2122"/>
      <c r="M19" s="2114"/>
      <c r="N19" s="2114"/>
      <c r="O19" s="2121"/>
      <c r="P19" s="3598"/>
      <c r="Q19" s="2538"/>
      <c r="R19" s="1554"/>
      <c r="S19" s="1555"/>
      <c r="T19" s="1554"/>
      <c r="U19" s="1555"/>
      <c r="V19" s="1554"/>
      <c r="W19" s="1555"/>
      <c r="X19" s="2540"/>
      <c r="Y19" s="3598"/>
      <c r="Z19" s="2539"/>
      <c r="AA19" s="1557">
        <v>1</v>
      </c>
      <c r="AB19" s="1557">
        <v>1</v>
      </c>
      <c r="AC19" s="1557">
        <v>1</v>
      </c>
    </row>
    <row r="20" spans="1:29" ht="82.8">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598"/>
      <c r="Q20" s="1553" t="str">
        <f>B20</f>
        <v>自然及人文环境</v>
      </c>
      <c r="R20" s="1554" t="s">
        <v>8</v>
      </c>
      <c r="S20" s="1555">
        <f>F20</f>
        <v>100</v>
      </c>
      <c r="T20" s="1554" t="s">
        <v>8</v>
      </c>
      <c r="U20" s="1555">
        <f>H20</f>
        <v>100</v>
      </c>
      <c r="V20" s="1554" t="s">
        <v>8</v>
      </c>
      <c r="W20" s="1555">
        <f>J20</f>
        <v>100</v>
      </c>
      <c r="X20" s="1548"/>
      <c r="Y20" s="3598"/>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2"/>
      <c r="M21" s="2114"/>
      <c r="N21" s="2114"/>
      <c r="O21" s="2121"/>
      <c r="P21" s="3598"/>
      <c r="Q21" s="1553"/>
      <c r="R21" s="1554"/>
      <c r="S21" s="1555"/>
      <c r="T21" s="1554"/>
      <c r="U21" s="1555"/>
      <c r="V21" s="1554"/>
      <c r="W21" s="1555"/>
      <c r="X21" s="1548"/>
      <c r="Y21" s="3598"/>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598"/>
      <c r="Q22" s="1553" t="str">
        <f>B22</f>
        <v>楼层</v>
      </c>
      <c r="R22" s="1554" t="s">
        <v>8</v>
      </c>
      <c r="S22" s="1555">
        <f>F22</f>
        <v>100</v>
      </c>
      <c r="T22" s="1554" t="s">
        <v>8</v>
      </c>
      <c r="U22" s="1555">
        <f>H22</f>
        <v>100</v>
      </c>
      <c r="V22" s="1554" t="s">
        <v>8</v>
      </c>
      <c r="W22" s="1555">
        <f>J22</f>
        <v>100</v>
      </c>
      <c r="X22" s="1548"/>
      <c r="Y22" s="3598"/>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598"/>
      <c r="Q23" s="1553">
        <f>B23</f>
        <v>111</v>
      </c>
      <c r="R23" s="1554" t="s">
        <v>8</v>
      </c>
      <c r="S23" s="1555">
        <f>F23</f>
        <v>100</v>
      </c>
      <c r="T23" s="1554" t="s">
        <v>8</v>
      </c>
      <c r="U23" s="1555">
        <f>H23</f>
        <v>100</v>
      </c>
      <c r="V23" s="1554" t="s">
        <v>8</v>
      </c>
      <c r="W23" s="1555">
        <f>J23</f>
        <v>100</v>
      </c>
      <c r="X23" s="1548"/>
      <c r="Y23" s="3598"/>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598"/>
      <c r="Q24" s="1553">
        <f t="shared" ref="Q24:Q34" si="8">B24</f>
        <v>111</v>
      </c>
      <c r="R24" s="1554" t="s">
        <v>8</v>
      </c>
      <c r="S24" s="1555">
        <f>F24</f>
        <v>100</v>
      </c>
      <c r="T24" s="1554" t="s">
        <v>8</v>
      </c>
      <c r="U24" s="1555">
        <f>H24</f>
        <v>100</v>
      </c>
      <c r="V24" s="1554" t="s">
        <v>8</v>
      </c>
      <c r="W24" s="1555">
        <f>J24</f>
        <v>100</v>
      </c>
      <c r="X24" s="1548"/>
      <c r="Y24" s="3598"/>
      <c r="Z24" s="1556">
        <f>Q24</f>
        <v>111</v>
      </c>
      <c r="AA24" s="1557">
        <f t="shared" si="3"/>
        <v>1</v>
      </c>
      <c r="AB24" s="1557">
        <f t="shared" si="4"/>
        <v>1</v>
      </c>
      <c r="AC24" s="1557">
        <f t="shared" si="5"/>
        <v>1</v>
      </c>
    </row>
    <row r="25" spans="1:29" s="1212"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598"/>
      <c r="Q25" s="1143">
        <f t="shared" si="8"/>
        <v>111</v>
      </c>
      <c r="R25" s="1549" t="s">
        <v>8</v>
      </c>
      <c r="S25" s="1550">
        <f>F25</f>
        <v>100</v>
      </c>
      <c r="T25" s="1549" t="s">
        <v>8</v>
      </c>
      <c r="U25" s="1550">
        <f>H25</f>
        <v>100</v>
      </c>
      <c r="V25" s="1549" t="s">
        <v>8</v>
      </c>
      <c r="W25" s="1550">
        <f>J25</f>
        <v>100</v>
      </c>
      <c r="X25" s="1551"/>
      <c r="Y25" s="3598"/>
      <c r="Z25" s="1142">
        <f>Q25</f>
        <v>111</v>
      </c>
      <c r="AA25" s="1557">
        <f>D25/F25</f>
        <v>1</v>
      </c>
      <c r="AB25" s="1557">
        <f>D25/H25</f>
        <v>1</v>
      </c>
      <c r="AC25" s="1557">
        <f>D25/J25</f>
        <v>1</v>
      </c>
    </row>
    <row r="26" spans="1:29" ht="15">
      <c r="A26" s="2857"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599" t="s">
        <v>821</v>
      </c>
      <c r="Q26" s="1553" t="str">
        <f t="shared" si="8"/>
        <v>公共部分装修</v>
      </c>
      <c r="R26" s="1554" t="s">
        <v>8</v>
      </c>
      <c r="S26" s="1555">
        <f t="shared" ref="S26:S34" si="9">F26</f>
        <v>100</v>
      </c>
      <c r="T26" s="1554" t="s">
        <v>8</v>
      </c>
      <c r="U26" s="1555">
        <f t="shared" ref="U26:U34" si="10">H26</f>
        <v>100</v>
      </c>
      <c r="V26" s="1554" t="s">
        <v>8</v>
      </c>
      <c r="W26" s="1555">
        <f t="shared" ref="W26:W34" si="11">J26</f>
        <v>100</v>
      </c>
      <c r="X26" s="1548"/>
      <c r="Y26" s="3600" t="s">
        <v>821</v>
      </c>
      <c r="Z26" s="1556" t="str">
        <f t="shared" ref="Z26:Z34" si="12">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600"/>
      <c r="Q27" s="1585" t="str">
        <f t="shared" si="8"/>
        <v>成新率</v>
      </c>
      <c r="R27" s="1558" t="s">
        <v>8</v>
      </c>
      <c r="S27" s="1559" t="e">
        <f t="shared" si="9"/>
        <v>#N/A</v>
      </c>
      <c r="T27" s="1558" t="s">
        <v>8</v>
      </c>
      <c r="U27" s="1559" t="e">
        <f t="shared" si="10"/>
        <v>#N/A</v>
      </c>
      <c r="V27" s="1558" t="s">
        <v>8</v>
      </c>
      <c r="W27" s="1559" t="e">
        <f t="shared" si="11"/>
        <v>#N/A</v>
      </c>
      <c r="X27" s="1560"/>
      <c r="Y27" s="3600"/>
      <c r="Z27" s="1561" t="str">
        <f t="shared" si="12"/>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600"/>
      <c r="Q28" s="1553" t="str">
        <f t="shared" si="8"/>
        <v>物业等级</v>
      </c>
      <c r="R28" s="1554" t="s">
        <v>8</v>
      </c>
      <c r="S28" s="1555">
        <f t="shared" si="9"/>
        <v>100</v>
      </c>
      <c r="T28" s="1554" t="s">
        <v>8</v>
      </c>
      <c r="U28" s="1555">
        <f t="shared" si="10"/>
        <v>100</v>
      </c>
      <c r="V28" s="1554" t="s">
        <v>8</v>
      </c>
      <c r="W28" s="1555">
        <f t="shared" si="11"/>
        <v>100</v>
      </c>
      <c r="X28" s="1548"/>
      <c r="Y28" s="3600"/>
      <c r="Z28" s="1556" t="str">
        <f t="shared" si="12"/>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600"/>
      <c r="Q29" s="1553" t="str">
        <f t="shared" si="8"/>
        <v>有无电梯</v>
      </c>
      <c r="R29" s="1554" t="s">
        <v>8</v>
      </c>
      <c r="S29" s="1555">
        <f t="shared" si="9"/>
        <v>100</v>
      </c>
      <c r="T29" s="1554" t="s">
        <v>8</v>
      </c>
      <c r="U29" s="1555">
        <f t="shared" si="10"/>
        <v>100</v>
      </c>
      <c r="V29" s="1554" t="s">
        <v>8</v>
      </c>
      <c r="W29" s="1555">
        <f t="shared" si="11"/>
        <v>100</v>
      </c>
      <c r="X29" s="1548"/>
      <c r="Y29" s="3600"/>
      <c r="Z29" s="1556" t="str">
        <f t="shared" si="12"/>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600"/>
      <c r="Q30" s="1553" t="str">
        <f t="shared" si="8"/>
        <v>建筑面积</v>
      </c>
      <c r="R30" s="1554" t="s">
        <v>8</v>
      </c>
      <c r="S30" s="1555" t="e">
        <f t="shared" si="9"/>
        <v>#N/A</v>
      </c>
      <c r="T30" s="1554" t="s">
        <v>8</v>
      </c>
      <c r="U30" s="1555" t="e">
        <f t="shared" si="10"/>
        <v>#N/A</v>
      </c>
      <c r="V30" s="1554" t="s">
        <v>8</v>
      </c>
      <c r="W30" s="1555" t="e">
        <f t="shared" si="11"/>
        <v>#N/A</v>
      </c>
      <c r="X30" s="1548"/>
      <c r="Y30" s="3600"/>
      <c r="Z30" s="1556" t="str">
        <f t="shared" si="12"/>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600"/>
      <c r="Q31" s="1143" t="str">
        <f t="shared" si="8"/>
        <v>是否封闭</v>
      </c>
      <c r="R31" s="1549" t="s">
        <v>8</v>
      </c>
      <c r="S31" s="1550">
        <f t="shared" si="9"/>
        <v>100</v>
      </c>
      <c r="T31" s="1549" t="s">
        <v>8</v>
      </c>
      <c r="U31" s="1550">
        <f t="shared" si="10"/>
        <v>100</v>
      </c>
      <c r="V31" s="1549" t="s">
        <v>8</v>
      </c>
      <c r="W31" s="1550">
        <f t="shared" si="11"/>
        <v>100</v>
      </c>
      <c r="X31" s="1551"/>
      <c r="Y31" s="3600"/>
      <c r="Z31" s="1142" t="str">
        <f t="shared" si="12"/>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600" t="s">
        <v>550</v>
      </c>
      <c r="Q32" s="1553">
        <f t="shared" si="8"/>
        <v>111</v>
      </c>
      <c r="R32" s="1554" t="s">
        <v>8</v>
      </c>
      <c r="S32" s="1555">
        <f t="shared" si="9"/>
        <v>100</v>
      </c>
      <c r="T32" s="1554" t="s">
        <v>8</v>
      </c>
      <c r="U32" s="1555">
        <f t="shared" si="10"/>
        <v>100</v>
      </c>
      <c r="V32" s="1554" t="s">
        <v>8</v>
      </c>
      <c r="W32" s="1555">
        <f t="shared" si="11"/>
        <v>100</v>
      </c>
      <c r="X32" s="1548"/>
      <c r="Y32" s="3600" t="s">
        <v>550</v>
      </c>
      <c r="Z32" s="1556">
        <f t="shared" si="12"/>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600"/>
      <c r="Q33" s="1553">
        <f t="shared" si="8"/>
        <v>111</v>
      </c>
      <c r="R33" s="1554" t="s">
        <v>8</v>
      </c>
      <c r="S33" s="1555">
        <f t="shared" si="9"/>
        <v>100</v>
      </c>
      <c r="T33" s="1554" t="s">
        <v>8</v>
      </c>
      <c r="U33" s="1555">
        <f t="shared" si="10"/>
        <v>100</v>
      </c>
      <c r="V33" s="1554" t="s">
        <v>8</v>
      </c>
      <c r="W33" s="1555">
        <f t="shared" si="11"/>
        <v>100</v>
      </c>
      <c r="X33" s="1548"/>
      <c r="Y33" s="3600"/>
      <c r="Z33" s="1556">
        <f t="shared" si="12"/>
        <v>111</v>
      </c>
      <c r="AA33" s="1557">
        <f t="shared" si="3"/>
        <v>1</v>
      </c>
      <c r="AB33" s="1557">
        <f t="shared" si="4"/>
        <v>1</v>
      </c>
      <c r="AC33" s="1557">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600"/>
      <c r="Q34" s="1553">
        <f t="shared" si="8"/>
        <v>111</v>
      </c>
      <c r="R34" s="1554" t="s">
        <v>8</v>
      </c>
      <c r="S34" s="1555">
        <f t="shared" si="9"/>
        <v>100</v>
      </c>
      <c r="T34" s="1554" t="s">
        <v>8</v>
      </c>
      <c r="U34" s="1555">
        <f t="shared" si="10"/>
        <v>100</v>
      </c>
      <c r="V34" s="1554" t="s">
        <v>8</v>
      </c>
      <c r="W34" s="1555">
        <f t="shared" si="11"/>
        <v>100</v>
      </c>
      <c r="X34" s="1548"/>
      <c r="Y34" s="3600"/>
      <c r="Z34" s="1556">
        <f t="shared" si="12"/>
        <v>111</v>
      </c>
      <c r="AA34" s="1557">
        <f t="shared" si="3"/>
        <v>1</v>
      </c>
      <c r="AB34" s="1557">
        <f t="shared" si="4"/>
        <v>1</v>
      </c>
      <c r="AC34" s="1557">
        <f t="shared" si="5"/>
        <v>1</v>
      </c>
    </row>
    <row r="35" spans="1:29" ht="14.4">
      <c r="A35" s="604" t="s">
        <v>736</v>
      </c>
      <c r="B35" s="883"/>
      <c r="C35" s="2586" t="s">
        <v>1</v>
      </c>
      <c r="D35" s="2587"/>
      <c r="E35" s="2588"/>
      <c r="F35" s="2589"/>
      <c r="G35" s="2590"/>
      <c r="H35" s="2591"/>
      <c r="I35" s="2588"/>
      <c r="J35" s="2591"/>
      <c r="K35" s="1591"/>
      <c r="L35" s="2124"/>
      <c r="M35" s="2125"/>
      <c r="N35" s="2114"/>
      <c r="O35" s="2125"/>
      <c r="P35" s="3562" t="str">
        <f>A35</f>
        <v>成交单价（元/平方米）</v>
      </c>
      <c r="Q35" s="3562"/>
      <c r="R35" s="3639">
        <f>E35</f>
        <v>0</v>
      </c>
      <c r="S35" s="3639"/>
      <c r="T35" s="3639">
        <f>G35</f>
        <v>0</v>
      </c>
      <c r="U35" s="3639"/>
      <c r="V35" s="3639">
        <f>I35</f>
        <v>0</v>
      </c>
      <c r="W35" s="3639"/>
      <c r="X35" s="1540"/>
      <c r="Y35" s="1562"/>
      <c r="Z35" s="1540"/>
      <c r="AA35" s="1540"/>
      <c r="AB35" s="1540"/>
      <c r="AC35" s="1540"/>
    </row>
    <row r="36" spans="1:29" ht="15" thickBot="1">
      <c r="A36" s="612" t="s">
        <v>2756</v>
      </c>
      <c r="B36" s="884"/>
      <c r="C36" s="2592" t="e">
        <f>R37</f>
        <v>#DIV/0!</v>
      </c>
      <c r="D36" s="2593"/>
      <c r="E36" s="2594" t="e">
        <f>R36</f>
        <v>#DIV/0!</v>
      </c>
      <c r="F36" s="2594"/>
      <c r="G36" s="2592" t="e">
        <f>T36</f>
        <v>#DIV/0!</v>
      </c>
      <c r="H36" s="2593"/>
      <c r="I36" s="2594" t="e">
        <f>V36</f>
        <v>#DIV/0!</v>
      </c>
      <c r="J36" s="2593"/>
      <c r="K36" s="1592"/>
      <c r="L36" s="2124"/>
      <c r="M36" s="2125"/>
      <c r="N36" s="2114"/>
      <c r="O36" s="2125"/>
      <c r="P36" s="3562" t="str">
        <f>A36</f>
        <v>比较价格（元/平方米）</v>
      </c>
      <c r="Q36" s="3562"/>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540"/>
      <c r="Y36" s="1540"/>
      <c r="Z36" s="1540"/>
      <c r="AA36" s="1540"/>
      <c r="AB36" s="1540"/>
      <c r="AC36" s="1540"/>
    </row>
    <row r="37" spans="1:29" ht="15" thickBot="1">
      <c r="A37" s="618" t="s">
        <v>2928</v>
      </c>
      <c r="B37" s="619"/>
      <c r="C37" s="2595" t="e">
        <f>R37</f>
        <v>#DIV/0!</v>
      </c>
      <c r="D37" s="2595"/>
      <c r="E37" s="2595"/>
      <c r="F37" s="2595"/>
      <c r="G37" s="2595"/>
      <c r="H37" s="2595"/>
      <c r="I37" s="2595"/>
      <c r="J37" s="2595"/>
      <c r="K37" s="1593"/>
      <c r="L37" s="2124"/>
      <c r="M37" s="2125"/>
      <c r="N37" s="2125"/>
      <c r="O37" s="2125"/>
      <c r="P37" s="3559" t="str">
        <f>A37</f>
        <v>估价对象XX用房的比较价格（楼面单价，元/平方米）</v>
      </c>
      <c r="Q37" s="3560"/>
      <c r="R37" s="3638" t="e">
        <f>IF(F1="售价",ROUND(AVERAGE(R36:V36),0),ROUND(AVERAGE(R36:V36),1))</f>
        <v>#DIV/0!</v>
      </c>
      <c r="S37" s="3638"/>
      <c r="T37" s="3638"/>
      <c r="U37" s="3638"/>
      <c r="V37" s="3638"/>
      <c r="W37" s="3638"/>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2.2"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9" customFormat="1" ht="14.4">
      <c r="A46" s="642" t="s">
        <v>529</v>
      </c>
      <c r="B46" s="643"/>
      <c r="C46" s="2752" t="str">
        <f>YEAR(C7)&amp;"-"&amp;MONTH(C7)</f>
        <v>2020-7</v>
      </c>
      <c r="D46" s="2754">
        <f>EDATE(C46,-1)</f>
        <v>43983</v>
      </c>
      <c r="E46" s="2754">
        <f t="shared" ref="E46:O46" si="13">EDATE(D46,-1)</f>
        <v>43952</v>
      </c>
      <c r="F46" s="2754">
        <f t="shared" si="13"/>
        <v>43922</v>
      </c>
      <c r="G46" s="2754">
        <f t="shared" si="13"/>
        <v>43891</v>
      </c>
      <c r="H46" s="2754">
        <f t="shared" si="13"/>
        <v>43862</v>
      </c>
      <c r="I46" s="2754">
        <f t="shared" si="13"/>
        <v>43831</v>
      </c>
      <c r="J46" s="2754">
        <f t="shared" si="13"/>
        <v>43800</v>
      </c>
      <c r="K46" s="2754">
        <f t="shared" si="13"/>
        <v>43770</v>
      </c>
      <c r="L46" s="2754">
        <f t="shared" si="13"/>
        <v>43739</v>
      </c>
      <c r="M46" s="2754">
        <f t="shared" si="13"/>
        <v>43709</v>
      </c>
      <c r="N46" s="2754">
        <f t="shared" si="13"/>
        <v>43678</v>
      </c>
      <c r="O46" s="2754">
        <f t="shared" si="13"/>
        <v>43647</v>
      </c>
      <c r="P46" s="2140"/>
      <c r="Q46" s="2141"/>
      <c r="R46" s="2141"/>
      <c r="S46" s="2141"/>
      <c r="T46" s="2141"/>
      <c r="U46" s="2141"/>
      <c r="V46" s="2141"/>
      <c r="W46" s="2141"/>
      <c r="X46" s="2141"/>
      <c r="Y46" s="2141"/>
      <c r="Z46" s="2141"/>
      <c r="AA46" s="2141"/>
      <c r="AB46" s="2141"/>
      <c r="AC46" s="2141"/>
    </row>
    <row r="47" spans="1:29" s="1212" customFormat="1">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4.4">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4.4"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ht="14.4">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4.4"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4.4"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4.4"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4.4"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4.4"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4.4"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4.4"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 thickTop="1">
      <c r="A63" s="666"/>
      <c r="B63" s="1876" t="s">
        <v>2554</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2556" t="s">
        <v>2555</v>
      </c>
      <c r="C65" s="2557" t="s">
        <v>2556</v>
      </c>
      <c r="D65" s="2557" t="s">
        <v>2557</v>
      </c>
      <c r="E65" s="2557" t="s">
        <v>2558</v>
      </c>
      <c r="F65" s="2557" t="s">
        <v>2559</v>
      </c>
      <c r="G65" s="2557" t="s">
        <v>2560</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4.4"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4.4"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4.4"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4.4"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4.4"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75"/>
      <c r="C78" s="676">
        <v>100</v>
      </c>
      <c r="D78" s="676">
        <f t="shared" ref="D78:M78" si="14">C78-$K26</f>
        <v>100</v>
      </c>
      <c r="E78" s="676">
        <f t="shared" si="14"/>
        <v>100</v>
      </c>
      <c r="F78" s="676">
        <f t="shared" si="14"/>
        <v>100</v>
      </c>
      <c r="G78" s="676">
        <f t="shared" si="14"/>
        <v>100</v>
      </c>
      <c r="H78" s="676">
        <f t="shared" si="14"/>
        <v>100</v>
      </c>
      <c r="I78" s="676">
        <f t="shared" si="14"/>
        <v>100</v>
      </c>
      <c r="J78" s="676">
        <f t="shared" si="14"/>
        <v>100</v>
      </c>
      <c r="K78" s="676">
        <f t="shared" si="14"/>
        <v>100</v>
      </c>
      <c r="L78" s="676">
        <f t="shared" si="14"/>
        <v>100</v>
      </c>
      <c r="M78" s="677">
        <f t="shared" si="14"/>
        <v>100</v>
      </c>
      <c r="N78" s="2146"/>
      <c r="O78" s="2146"/>
      <c r="P78" s="2145"/>
      <c r="Q78" s="2138"/>
      <c r="R78" s="2125"/>
      <c r="S78" s="2125"/>
      <c r="T78" s="2125"/>
      <c r="U78" s="2125"/>
      <c r="V78" s="2125"/>
      <c r="W78" s="2125"/>
      <c r="X78" s="2125"/>
      <c r="Y78" s="2125"/>
      <c r="Z78" s="2125"/>
      <c r="AA78" s="2125"/>
      <c r="AB78" s="2125"/>
      <c r="AC78" s="2125"/>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4.4" thickBot="1">
      <c r="A81" s="684"/>
      <c r="B81" s="675"/>
      <c r="C81" s="709">
        <v>100</v>
      </c>
      <c r="D81" s="676">
        <f t="shared" ref="D81:M81" si="15">C81+$K27</f>
        <v>100</v>
      </c>
      <c r="E81" s="676">
        <f t="shared" si="15"/>
        <v>100</v>
      </c>
      <c r="F81" s="676">
        <f t="shared" si="15"/>
        <v>100</v>
      </c>
      <c r="G81" s="676">
        <f t="shared" si="15"/>
        <v>100</v>
      </c>
      <c r="H81" s="676">
        <f t="shared" si="15"/>
        <v>100</v>
      </c>
      <c r="I81" s="676">
        <f t="shared" si="15"/>
        <v>100</v>
      </c>
      <c r="J81" s="676">
        <f t="shared" si="15"/>
        <v>100</v>
      </c>
      <c r="K81" s="676">
        <f t="shared" si="15"/>
        <v>100</v>
      </c>
      <c r="L81" s="676">
        <f t="shared" si="15"/>
        <v>100</v>
      </c>
      <c r="M81" s="676">
        <f t="shared" si="15"/>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4.4" thickBot="1">
      <c r="A83" s="666"/>
      <c r="B83" s="675"/>
      <c r="C83" s="676">
        <v>100</v>
      </c>
      <c r="D83" s="676">
        <f t="shared" ref="D83:M83" si="16">C83-$K28</f>
        <v>100</v>
      </c>
      <c r="E83" s="676">
        <f t="shared" si="16"/>
        <v>100</v>
      </c>
      <c r="F83" s="676">
        <f t="shared" si="16"/>
        <v>100</v>
      </c>
      <c r="G83" s="676">
        <f t="shared" si="16"/>
        <v>100</v>
      </c>
      <c r="H83" s="676">
        <f t="shared" si="16"/>
        <v>100</v>
      </c>
      <c r="I83" s="676">
        <f t="shared" si="16"/>
        <v>100</v>
      </c>
      <c r="J83" s="676">
        <f t="shared" si="16"/>
        <v>100</v>
      </c>
      <c r="K83" s="676">
        <f t="shared" si="16"/>
        <v>100</v>
      </c>
      <c r="L83" s="676">
        <f t="shared" si="16"/>
        <v>100</v>
      </c>
      <c r="M83" s="677">
        <f t="shared" si="16"/>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709">
        <v>100</v>
      </c>
      <c r="D85" s="676">
        <f t="shared" ref="D85:M85" si="17">C85+$K29</f>
        <v>100</v>
      </c>
      <c r="E85" s="676">
        <f t="shared" si="17"/>
        <v>100</v>
      </c>
      <c r="F85" s="676">
        <f t="shared" si="17"/>
        <v>100</v>
      </c>
      <c r="G85" s="676">
        <f t="shared" si="17"/>
        <v>100</v>
      </c>
      <c r="H85" s="676">
        <f t="shared" si="17"/>
        <v>100</v>
      </c>
      <c r="I85" s="676">
        <f t="shared" si="17"/>
        <v>100</v>
      </c>
      <c r="J85" s="676">
        <f t="shared" si="17"/>
        <v>100</v>
      </c>
      <c r="K85" s="676">
        <f t="shared" si="17"/>
        <v>100</v>
      </c>
      <c r="L85" s="676">
        <f t="shared" si="17"/>
        <v>100</v>
      </c>
      <c r="M85" s="676">
        <f t="shared" si="17"/>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18">C87&amp;"(含)"&amp;"-"&amp;D87</f>
        <v>(含)-</v>
      </c>
      <c r="D86" s="705" t="str">
        <f t="shared" si="18"/>
        <v>(含)-</v>
      </c>
      <c r="E86" s="705" t="str">
        <f t="shared" si="18"/>
        <v>(含)-</v>
      </c>
      <c r="F86" s="705" t="str">
        <f t="shared" si="18"/>
        <v>(含)-</v>
      </c>
      <c r="G86" s="705" t="str">
        <f t="shared" si="18"/>
        <v>(含)-</v>
      </c>
      <c r="H86" s="705" t="str">
        <f t="shared" si="18"/>
        <v>(含)-</v>
      </c>
      <c r="I86" s="705" t="str">
        <f t="shared" si="18"/>
        <v>(含)-</v>
      </c>
      <c r="J86" s="705" t="str">
        <f t="shared" si="18"/>
        <v>(含)-</v>
      </c>
      <c r="K86" s="705" t="str">
        <f t="shared" si="18"/>
        <v>(含)-</v>
      </c>
      <c r="L86" s="705" t="str">
        <f t="shared" si="18"/>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4.4"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4.4"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4.4"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4.4"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4.4"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4.4"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4.4"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2" customWidth="1"/>
    <col min="2" max="2" width="9.2187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4" t="s">
        <v>2301</v>
      </c>
      <c r="C1" s="3691" t="s">
        <v>2302</v>
      </c>
      <c r="D1" s="3692"/>
      <c r="E1" s="3692"/>
      <c r="F1" s="3692"/>
      <c r="G1" s="3692"/>
      <c r="H1" s="3692"/>
      <c r="I1" s="3692"/>
      <c r="J1" s="3692"/>
      <c r="K1" s="3692"/>
      <c r="L1" s="3692"/>
      <c r="M1" s="3692"/>
      <c r="N1" s="3692"/>
      <c r="O1" s="3692"/>
      <c r="P1" s="3692"/>
      <c r="Q1" s="3692"/>
      <c r="R1" s="3692"/>
      <c r="S1" s="3693"/>
      <c r="T1" s="2214" t="s">
        <v>2303</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R2" si="1">M3&amp;"(含)"&amp;"-"&amp;N3</f>
        <v>(含)-</v>
      </c>
      <c r="N2" s="947" t="str">
        <f t="shared" si="1"/>
        <v>(含)-</v>
      </c>
      <c r="O2" s="947" t="str">
        <f t="shared" si="1"/>
        <v>(含)-</v>
      </c>
      <c r="P2" s="947" t="str">
        <f t="shared" si="1"/>
        <v>(含)-</v>
      </c>
      <c r="Q2" s="947" t="str">
        <f t="shared" si="1"/>
        <v>(含)-</v>
      </c>
      <c r="R2" s="947" t="str">
        <f t="shared" si="1"/>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c r="D3" s="951"/>
      <c r="E3" s="951"/>
      <c r="F3" s="951"/>
      <c r="G3" s="951"/>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8"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27" t="s">
        <v>2921</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8" thickBot="1">
      <c r="A6" s="2231"/>
      <c r="B6" s="1944"/>
      <c r="C6" s="1948">
        <v>100</v>
      </c>
      <c r="D6" s="1949">
        <f>C6-$T5</f>
        <v>100</v>
      </c>
      <c r="E6" s="1949">
        <f t="shared" ref="E6:S6" si="2">D6-$T5</f>
        <v>100</v>
      </c>
      <c r="F6" s="1949">
        <f t="shared" si="2"/>
        <v>100</v>
      </c>
      <c r="G6" s="1949">
        <f t="shared" si="2"/>
        <v>100</v>
      </c>
      <c r="H6" s="1949">
        <f t="shared" si="2"/>
        <v>100</v>
      </c>
      <c r="I6" s="1949">
        <f t="shared" si="2"/>
        <v>100</v>
      </c>
      <c r="J6" s="1949">
        <f t="shared" si="2"/>
        <v>100</v>
      </c>
      <c r="K6" s="1949">
        <f t="shared" si="2"/>
        <v>100</v>
      </c>
      <c r="L6" s="1949">
        <f t="shared" si="2"/>
        <v>100</v>
      </c>
      <c r="M6" s="1949">
        <f t="shared" si="2"/>
        <v>100</v>
      </c>
      <c r="N6" s="1949">
        <f t="shared" si="2"/>
        <v>100</v>
      </c>
      <c r="O6" s="1949">
        <f t="shared" si="2"/>
        <v>100</v>
      </c>
      <c r="P6" s="1949">
        <f t="shared" si="2"/>
        <v>100</v>
      </c>
      <c r="Q6" s="1949">
        <f t="shared" si="2"/>
        <v>100</v>
      </c>
      <c r="R6" s="1949">
        <f t="shared" si="2"/>
        <v>100</v>
      </c>
      <c r="S6" s="1949">
        <f t="shared" si="2"/>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29" t="s">
        <v>2920</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8" thickBot="1">
      <c r="A8" s="2231"/>
      <c r="B8" s="1944"/>
      <c r="C8" s="1948">
        <v>100</v>
      </c>
      <c r="D8" s="1949">
        <f>C8-$T7</f>
        <v>100</v>
      </c>
      <c r="E8" s="1949">
        <f t="shared" ref="E8:S8" si="3">D8-$T7</f>
        <v>100</v>
      </c>
      <c r="F8" s="1949">
        <f t="shared" si="3"/>
        <v>100</v>
      </c>
      <c r="G8" s="1949">
        <f t="shared" si="3"/>
        <v>100</v>
      </c>
      <c r="H8" s="1949">
        <f t="shared" si="3"/>
        <v>100</v>
      </c>
      <c r="I8" s="1949">
        <f t="shared" si="3"/>
        <v>100</v>
      </c>
      <c r="J8" s="1949">
        <f t="shared" si="3"/>
        <v>100</v>
      </c>
      <c r="K8" s="1949">
        <f t="shared" si="3"/>
        <v>100</v>
      </c>
      <c r="L8" s="1949">
        <f t="shared" si="3"/>
        <v>100</v>
      </c>
      <c r="M8" s="1949">
        <f t="shared" si="3"/>
        <v>100</v>
      </c>
      <c r="N8" s="1949">
        <f t="shared" si="3"/>
        <v>100</v>
      </c>
      <c r="O8" s="1949">
        <f t="shared" si="3"/>
        <v>100</v>
      </c>
      <c r="P8" s="1949">
        <f t="shared" si="3"/>
        <v>100</v>
      </c>
      <c r="Q8" s="1949">
        <f t="shared" si="3"/>
        <v>100</v>
      </c>
      <c r="R8" s="1949">
        <f t="shared" si="3"/>
        <v>100</v>
      </c>
      <c r="S8" s="1949">
        <f t="shared" si="3"/>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29" t="s">
        <v>2919</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8" thickBot="1">
      <c r="A10" s="2231"/>
      <c r="B10" s="3028"/>
      <c r="C10" s="2246">
        <v>100</v>
      </c>
      <c r="D10" s="2247">
        <f>C10-$T9</f>
        <v>100</v>
      </c>
      <c r="E10" s="2247">
        <f t="shared" ref="E10:S10" si="4">D10-$T9</f>
        <v>100</v>
      </c>
      <c r="F10" s="2247">
        <f t="shared" si="4"/>
        <v>100</v>
      </c>
      <c r="G10" s="2247">
        <f t="shared" si="4"/>
        <v>100</v>
      </c>
      <c r="H10" s="2247">
        <f t="shared" si="4"/>
        <v>100</v>
      </c>
      <c r="I10" s="2247">
        <f t="shared" si="4"/>
        <v>100</v>
      </c>
      <c r="J10" s="2247">
        <f t="shared" si="4"/>
        <v>100</v>
      </c>
      <c r="K10" s="2247">
        <f t="shared" si="4"/>
        <v>100</v>
      </c>
      <c r="L10" s="2247">
        <f t="shared" si="4"/>
        <v>100</v>
      </c>
      <c r="M10" s="2247">
        <f t="shared" si="4"/>
        <v>100</v>
      </c>
      <c r="N10" s="2247">
        <f t="shared" si="4"/>
        <v>100</v>
      </c>
      <c r="O10" s="2247">
        <f t="shared" si="4"/>
        <v>100</v>
      </c>
      <c r="P10" s="2247">
        <f t="shared" si="4"/>
        <v>100</v>
      </c>
      <c r="Q10" s="2247">
        <f t="shared" si="4"/>
        <v>100</v>
      </c>
      <c r="R10" s="2247">
        <f t="shared" si="4"/>
        <v>100</v>
      </c>
      <c r="S10" s="2247">
        <f t="shared" si="4"/>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27"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8" thickBot="1">
      <c r="A12" s="2231"/>
      <c r="B12" s="1944"/>
      <c r="C12" s="1948">
        <v>100</v>
      </c>
      <c r="D12" s="1949">
        <f>C12-$T11</f>
        <v>100</v>
      </c>
      <c r="E12" s="1949">
        <f t="shared" ref="E12:S12" si="5">D12-$T11</f>
        <v>100</v>
      </c>
      <c r="F12" s="1949">
        <f t="shared" si="5"/>
        <v>100</v>
      </c>
      <c r="G12" s="1949">
        <f t="shared" si="5"/>
        <v>100</v>
      </c>
      <c r="H12" s="1949">
        <f t="shared" si="5"/>
        <v>100</v>
      </c>
      <c r="I12" s="1949">
        <f t="shared" si="5"/>
        <v>100</v>
      </c>
      <c r="J12" s="1949">
        <f t="shared" si="5"/>
        <v>100</v>
      </c>
      <c r="K12" s="1949">
        <f t="shared" si="5"/>
        <v>100</v>
      </c>
      <c r="L12" s="1949">
        <f t="shared" si="5"/>
        <v>100</v>
      </c>
      <c r="M12" s="1949">
        <f t="shared" si="5"/>
        <v>100</v>
      </c>
      <c r="N12" s="1949">
        <f t="shared" si="5"/>
        <v>100</v>
      </c>
      <c r="O12" s="1949">
        <f t="shared" si="5"/>
        <v>100</v>
      </c>
      <c r="P12" s="1949">
        <f t="shared" si="5"/>
        <v>100</v>
      </c>
      <c r="Q12" s="1949">
        <f t="shared" si="5"/>
        <v>100</v>
      </c>
      <c r="R12" s="1949">
        <f t="shared" si="5"/>
        <v>100</v>
      </c>
      <c r="S12" s="1949">
        <f t="shared" si="5"/>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27" t="s">
        <v>2918</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8"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27" t="s">
        <v>2917</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8"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2305</v>
      </c>
      <c r="B17" s="2258" t="s">
        <v>2306</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8"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6">
      <c r="A20" s="956" t="s">
        <v>828</v>
      </c>
      <c r="B20" s="772">
        <f>S22</f>
        <v>0</v>
      </c>
      <c r="C20" s="1970"/>
      <c r="D20" s="1970"/>
      <c r="E20" s="1970"/>
      <c r="F20" s="1970"/>
      <c r="G20" s="1970"/>
      <c r="H20" s="1970"/>
      <c r="I20" s="1970"/>
      <c r="J20" s="1970"/>
      <c r="K20" s="1970"/>
      <c r="L20" s="1970"/>
      <c r="M20" s="1970"/>
      <c r="N20" s="1970"/>
      <c r="O20" s="1970"/>
      <c r="P20" s="1970"/>
      <c r="Q20" s="1970"/>
      <c r="R20" s="2205"/>
      <c r="S20" s="2008"/>
    </row>
    <row r="21" spans="1:45" ht="15.6">
      <c r="A21" s="956" t="s">
        <v>829</v>
      </c>
      <c r="B21" s="772" t="e">
        <f>R22</f>
        <v>#DIV/0!</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0</v>
      </c>
      <c r="C22" s="3688" t="s">
        <v>20</v>
      </c>
      <c r="D22" s="3689"/>
      <c r="E22" s="3689"/>
      <c r="F22" s="3689"/>
      <c r="G22" s="3689"/>
      <c r="H22" s="3689"/>
      <c r="I22" s="3689"/>
      <c r="J22" s="3689"/>
      <c r="K22" s="3689"/>
      <c r="L22" s="3689"/>
      <c r="M22" s="3689"/>
      <c r="N22" s="3689"/>
      <c r="O22" s="3689"/>
      <c r="P22" s="3689"/>
      <c r="Q22" s="3690"/>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6">ROUND(R24*B24/10000,0)</f>
        <v>0</v>
      </c>
      <c r="T24" s="1953"/>
      <c r="U24" s="1953"/>
      <c r="V24" s="1953"/>
      <c r="W24" s="1953"/>
      <c r="X24" s="1953"/>
      <c r="Y24" s="1953"/>
      <c r="Z24" s="1953"/>
      <c r="AA24" s="1953"/>
      <c r="AB24" s="1953"/>
      <c r="AC24" s="1953"/>
      <c r="AD24" s="1953"/>
      <c r="AE24" s="1953"/>
      <c r="AF24" s="1953"/>
      <c r="AG24" s="1953"/>
      <c r="AH24" s="1953"/>
      <c r="AI24" s="1953"/>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6"/>
        <v>0</v>
      </c>
    </row>
    <row r="26" spans="1:45">
      <c r="A26" s="961"/>
      <c r="B26" s="137"/>
      <c r="C26" s="53">
        <f t="shared" ref="C26:C89" si="7">IF(B26="",1,(LOOKUP(B26,$3:$3,$4:$4)-LOOKUP($B$24,$3:$3,$4:$4)+100)/100)</f>
        <v>1</v>
      </c>
      <c r="D26" s="959"/>
      <c r="E26" s="53">
        <f t="shared" ref="E26:E89" si="8">(SUMIF($5:$5,D26,$6:$6)-SUMIF($5:$5,$D$24,$6:$6)+100)/100</f>
        <v>1</v>
      </c>
      <c r="F26" s="959"/>
      <c r="G26" s="53">
        <f t="shared" ref="G26:G89" si="9">(SUMIF($7:$7,F26,$8:$8)-SUMIF($7:$7,$F$24,$8:$8)+100)/100</f>
        <v>1</v>
      </c>
      <c r="H26" s="959"/>
      <c r="I26" s="53">
        <f t="shared" ref="I26:I89" si="10">(SUMIF($9:$9,H26,$10:$10)-SUMIF($9:$9,$H$24,$10:$10)+100)/100</f>
        <v>1</v>
      </c>
      <c r="J26" s="959"/>
      <c r="K26" s="53">
        <f t="shared" ref="K26:K89" si="11">(SUMIF($11:$11,J26,$12:$12)-SUMIF($11:$11,$J$24,$12:$12)+100)/100</f>
        <v>1</v>
      </c>
      <c r="L26" s="959"/>
      <c r="M26" s="53">
        <f t="shared" ref="M26:M89" si="12">(SUMIF($13:$13,L26,$14:$14)-SUMIF($13:$13,$L$24,$14:$14)+100)/100</f>
        <v>1</v>
      </c>
      <c r="N26" s="959"/>
      <c r="O26" s="53">
        <f t="shared" ref="O26:O89" si="13">(SUMIF($15:$15,N26,$16:$16)-SUMIF($15:$15,$N$24,$16:$16)+100)/100</f>
        <v>1</v>
      </c>
      <c r="P26" s="959"/>
      <c r="Q26" s="53">
        <f t="shared" ref="Q26:Q89" si="14">(SUMIF($17:$17,P26,$18:$18)-SUMIF($17:$17,$P$24,$18:$18)+100)/100</f>
        <v>1</v>
      </c>
      <c r="R26" s="487">
        <f t="shared" ref="R26:R89" si="15">IF(B26="",0,ROUND($R$24*C26*E26*G26*I26*K26*M26*O26*Q26,0))</f>
        <v>0</v>
      </c>
      <c r="S26" s="796">
        <f t="shared" si="6"/>
        <v>0</v>
      </c>
    </row>
    <row r="27" spans="1:45">
      <c r="A27" s="961"/>
      <c r="B27" s="137"/>
      <c r="C27" s="53">
        <f t="shared" si="7"/>
        <v>1</v>
      </c>
      <c r="D27" s="959"/>
      <c r="E27" s="53">
        <f t="shared" si="8"/>
        <v>1</v>
      </c>
      <c r="F27" s="959"/>
      <c r="G27" s="53">
        <f t="shared" si="9"/>
        <v>1</v>
      </c>
      <c r="H27" s="959"/>
      <c r="I27" s="53">
        <f t="shared" si="10"/>
        <v>1</v>
      </c>
      <c r="J27" s="959"/>
      <c r="K27" s="53">
        <f t="shared" si="11"/>
        <v>1</v>
      </c>
      <c r="L27" s="959"/>
      <c r="M27" s="53">
        <f t="shared" si="12"/>
        <v>1</v>
      </c>
      <c r="N27" s="959"/>
      <c r="O27" s="53">
        <f t="shared" si="13"/>
        <v>1</v>
      </c>
      <c r="P27" s="959"/>
      <c r="Q27" s="53">
        <f t="shared" si="14"/>
        <v>1</v>
      </c>
      <c r="R27" s="487">
        <f t="shared" si="15"/>
        <v>0</v>
      </c>
      <c r="S27" s="796">
        <f t="shared" si="6"/>
        <v>0</v>
      </c>
    </row>
    <row r="28" spans="1:45">
      <c r="A28" s="961"/>
      <c r="B28" s="137"/>
      <c r="C28" s="53">
        <f t="shared" si="7"/>
        <v>1</v>
      </c>
      <c r="D28" s="959"/>
      <c r="E28" s="53">
        <f t="shared" si="8"/>
        <v>1</v>
      </c>
      <c r="F28" s="959"/>
      <c r="G28" s="53">
        <f t="shared" si="9"/>
        <v>1</v>
      </c>
      <c r="H28" s="959"/>
      <c r="I28" s="53">
        <f t="shared" si="10"/>
        <v>1</v>
      </c>
      <c r="J28" s="959"/>
      <c r="K28" s="53">
        <f t="shared" si="11"/>
        <v>1</v>
      </c>
      <c r="L28" s="959"/>
      <c r="M28" s="53">
        <f t="shared" si="12"/>
        <v>1</v>
      </c>
      <c r="N28" s="959"/>
      <c r="O28" s="53">
        <f t="shared" si="13"/>
        <v>1</v>
      </c>
      <c r="P28" s="959"/>
      <c r="Q28" s="53">
        <f t="shared" si="14"/>
        <v>1</v>
      </c>
      <c r="R28" s="487">
        <f t="shared" si="15"/>
        <v>0</v>
      </c>
      <c r="S28" s="796">
        <f t="shared" si="6"/>
        <v>0</v>
      </c>
    </row>
    <row r="29" spans="1:45">
      <c r="A29" s="961"/>
      <c r="B29" s="137"/>
      <c r="C29" s="53">
        <f t="shared" si="7"/>
        <v>1</v>
      </c>
      <c r="D29" s="959"/>
      <c r="E29" s="53">
        <f t="shared" si="8"/>
        <v>1</v>
      </c>
      <c r="F29" s="959"/>
      <c r="G29" s="53">
        <f t="shared" si="9"/>
        <v>1</v>
      </c>
      <c r="H29" s="959"/>
      <c r="I29" s="53">
        <f t="shared" si="10"/>
        <v>1</v>
      </c>
      <c r="J29" s="959"/>
      <c r="K29" s="53">
        <f t="shared" si="11"/>
        <v>1</v>
      </c>
      <c r="L29" s="959"/>
      <c r="M29" s="53">
        <f t="shared" si="12"/>
        <v>1</v>
      </c>
      <c r="N29" s="959"/>
      <c r="O29" s="53">
        <f t="shared" si="13"/>
        <v>1</v>
      </c>
      <c r="P29" s="959"/>
      <c r="Q29" s="53">
        <f t="shared" si="14"/>
        <v>1</v>
      </c>
      <c r="R29" s="487">
        <f t="shared" si="15"/>
        <v>0</v>
      </c>
      <c r="S29" s="796">
        <f t="shared" si="6"/>
        <v>0</v>
      </c>
    </row>
    <row r="30" spans="1:45">
      <c r="A30" s="961"/>
      <c r="B30" s="137"/>
      <c r="C30" s="53">
        <f t="shared" si="7"/>
        <v>1</v>
      </c>
      <c r="D30" s="959"/>
      <c r="E30" s="53">
        <f t="shared" si="8"/>
        <v>1</v>
      </c>
      <c r="F30" s="959"/>
      <c r="G30" s="53">
        <f t="shared" si="9"/>
        <v>1</v>
      </c>
      <c r="H30" s="959"/>
      <c r="I30" s="53">
        <f t="shared" si="10"/>
        <v>1</v>
      </c>
      <c r="J30" s="959"/>
      <c r="K30" s="53">
        <f t="shared" si="11"/>
        <v>1</v>
      </c>
      <c r="L30" s="959"/>
      <c r="M30" s="53">
        <f t="shared" si="12"/>
        <v>1</v>
      </c>
      <c r="N30" s="959"/>
      <c r="O30" s="53">
        <f t="shared" si="13"/>
        <v>1</v>
      </c>
      <c r="P30" s="959"/>
      <c r="Q30" s="53">
        <f t="shared" si="14"/>
        <v>1</v>
      </c>
      <c r="R30" s="487">
        <f t="shared" si="15"/>
        <v>0</v>
      </c>
      <c r="S30" s="796">
        <f t="shared" si="6"/>
        <v>0</v>
      </c>
    </row>
    <row r="31" spans="1:45">
      <c r="A31" s="961"/>
      <c r="B31" s="137"/>
      <c r="C31" s="53">
        <f t="shared" si="7"/>
        <v>1</v>
      </c>
      <c r="D31" s="959"/>
      <c r="E31" s="53">
        <f t="shared" si="8"/>
        <v>1</v>
      </c>
      <c r="F31" s="959"/>
      <c r="G31" s="53">
        <f t="shared" si="9"/>
        <v>1</v>
      </c>
      <c r="H31" s="959"/>
      <c r="I31" s="53">
        <f t="shared" si="10"/>
        <v>1</v>
      </c>
      <c r="J31" s="959"/>
      <c r="K31" s="53">
        <f t="shared" si="11"/>
        <v>1</v>
      </c>
      <c r="L31" s="959"/>
      <c r="M31" s="53">
        <f t="shared" si="12"/>
        <v>1</v>
      </c>
      <c r="N31" s="959"/>
      <c r="O31" s="53">
        <f t="shared" si="13"/>
        <v>1</v>
      </c>
      <c r="P31" s="959"/>
      <c r="Q31" s="53">
        <f t="shared" si="14"/>
        <v>1</v>
      </c>
      <c r="R31" s="487">
        <f t="shared" si="15"/>
        <v>0</v>
      </c>
      <c r="S31" s="796">
        <f t="shared" si="6"/>
        <v>0</v>
      </c>
    </row>
    <row r="32" spans="1:45">
      <c r="A32" s="961"/>
      <c r="B32" s="137"/>
      <c r="C32" s="53">
        <f t="shared" si="7"/>
        <v>1</v>
      </c>
      <c r="D32" s="959"/>
      <c r="E32" s="53">
        <f t="shared" si="8"/>
        <v>1</v>
      </c>
      <c r="F32" s="959"/>
      <c r="G32" s="53">
        <f t="shared" si="9"/>
        <v>1</v>
      </c>
      <c r="H32" s="959"/>
      <c r="I32" s="53">
        <f t="shared" si="10"/>
        <v>1</v>
      </c>
      <c r="J32" s="959"/>
      <c r="K32" s="53">
        <f t="shared" si="11"/>
        <v>1</v>
      </c>
      <c r="L32" s="959"/>
      <c r="M32" s="53">
        <f t="shared" si="12"/>
        <v>1</v>
      </c>
      <c r="N32" s="959"/>
      <c r="O32" s="53">
        <f t="shared" si="13"/>
        <v>1</v>
      </c>
      <c r="P32" s="959"/>
      <c r="Q32" s="53">
        <f t="shared" si="14"/>
        <v>1</v>
      </c>
      <c r="R32" s="487">
        <f t="shared" si="15"/>
        <v>0</v>
      </c>
      <c r="S32" s="796">
        <f t="shared" si="6"/>
        <v>0</v>
      </c>
    </row>
    <row r="33" spans="1:19">
      <c r="A33" s="961"/>
      <c r="B33" s="137"/>
      <c r="C33" s="53">
        <f t="shared" si="7"/>
        <v>1</v>
      </c>
      <c r="D33" s="959"/>
      <c r="E33" s="53">
        <f t="shared" si="8"/>
        <v>1</v>
      </c>
      <c r="F33" s="959"/>
      <c r="G33" s="53">
        <f t="shared" si="9"/>
        <v>1</v>
      </c>
      <c r="H33" s="959"/>
      <c r="I33" s="53">
        <f t="shared" si="10"/>
        <v>1</v>
      </c>
      <c r="J33" s="959"/>
      <c r="K33" s="53">
        <f t="shared" si="11"/>
        <v>1</v>
      </c>
      <c r="L33" s="959"/>
      <c r="M33" s="53">
        <f t="shared" si="12"/>
        <v>1</v>
      </c>
      <c r="N33" s="959"/>
      <c r="O33" s="53">
        <f t="shared" si="13"/>
        <v>1</v>
      </c>
      <c r="P33" s="959"/>
      <c r="Q33" s="53">
        <f t="shared" si="14"/>
        <v>1</v>
      </c>
      <c r="R33" s="487">
        <f t="shared" si="15"/>
        <v>0</v>
      </c>
      <c r="S33" s="796">
        <f t="shared" si="6"/>
        <v>0</v>
      </c>
    </row>
    <row r="34" spans="1:19">
      <c r="A34" s="961"/>
      <c r="B34" s="137"/>
      <c r="C34" s="53">
        <f t="shared" si="7"/>
        <v>1</v>
      </c>
      <c r="D34" s="959"/>
      <c r="E34" s="53">
        <f t="shared" si="8"/>
        <v>1</v>
      </c>
      <c r="F34" s="959"/>
      <c r="G34" s="53">
        <f t="shared" si="9"/>
        <v>1</v>
      </c>
      <c r="H34" s="959"/>
      <c r="I34" s="53">
        <f t="shared" si="10"/>
        <v>1</v>
      </c>
      <c r="J34" s="959"/>
      <c r="K34" s="53">
        <f t="shared" si="11"/>
        <v>1</v>
      </c>
      <c r="L34" s="959"/>
      <c r="M34" s="53">
        <f t="shared" si="12"/>
        <v>1</v>
      </c>
      <c r="N34" s="959"/>
      <c r="O34" s="53">
        <f t="shared" si="13"/>
        <v>1</v>
      </c>
      <c r="P34" s="959"/>
      <c r="Q34" s="53">
        <f t="shared" si="14"/>
        <v>1</v>
      </c>
      <c r="R34" s="487">
        <f t="shared" si="15"/>
        <v>0</v>
      </c>
      <c r="S34" s="796">
        <f t="shared" si="6"/>
        <v>0</v>
      </c>
    </row>
    <row r="35" spans="1:19">
      <c r="A35" s="961"/>
      <c r="B35" s="137"/>
      <c r="C35" s="53">
        <f t="shared" si="7"/>
        <v>1</v>
      </c>
      <c r="D35" s="959"/>
      <c r="E35" s="53">
        <f t="shared" si="8"/>
        <v>1</v>
      </c>
      <c r="F35" s="959"/>
      <c r="G35" s="53">
        <f t="shared" si="9"/>
        <v>1</v>
      </c>
      <c r="H35" s="959"/>
      <c r="I35" s="53">
        <f t="shared" si="10"/>
        <v>1</v>
      </c>
      <c r="J35" s="959"/>
      <c r="K35" s="53">
        <f t="shared" si="11"/>
        <v>1</v>
      </c>
      <c r="L35" s="959"/>
      <c r="M35" s="53">
        <f t="shared" si="12"/>
        <v>1</v>
      </c>
      <c r="N35" s="959"/>
      <c r="O35" s="53">
        <f t="shared" si="13"/>
        <v>1</v>
      </c>
      <c r="P35" s="959"/>
      <c r="Q35" s="53">
        <f t="shared" si="14"/>
        <v>1</v>
      </c>
      <c r="R35" s="487">
        <f t="shared" si="15"/>
        <v>0</v>
      </c>
      <c r="S35" s="796">
        <f t="shared" si="6"/>
        <v>0</v>
      </c>
    </row>
    <row r="36" spans="1:19">
      <c r="A36" s="961"/>
      <c r="B36" s="137"/>
      <c r="C36" s="53">
        <f t="shared" si="7"/>
        <v>1</v>
      </c>
      <c r="D36" s="959"/>
      <c r="E36" s="53">
        <f t="shared" si="8"/>
        <v>1</v>
      </c>
      <c r="F36" s="959"/>
      <c r="G36" s="53">
        <f t="shared" si="9"/>
        <v>1</v>
      </c>
      <c r="H36" s="959"/>
      <c r="I36" s="53">
        <f t="shared" si="10"/>
        <v>1</v>
      </c>
      <c r="J36" s="959"/>
      <c r="K36" s="53">
        <f t="shared" si="11"/>
        <v>1</v>
      </c>
      <c r="L36" s="959"/>
      <c r="M36" s="53">
        <f t="shared" si="12"/>
        <v>1</v>
      </c>
      <c r="N36" s="959"/>
      <c r="O36" s="53">
        <f t="shared" si="13"/>
        <v>1</v>
      </c>
      <c r="P36" s="959"/>
      <c r="Q36" s="53">
        <f t="shared" si="14"/>
        <v>1</v>
      </c>
      <c r="R36" s="487">
        <f t="shared" si="15"/>
        <v>0</v>
      </c>
      <c r="S36" s="796">
        <f t="shared" si="6"/>
        <v>0</v>
      </c>
    </row>
    <row r="37" spans="1:19">
      <c r="A37" s="961"/>
      <c r="B37" s="137"/>
      <c r="C37" s="53">
        <f t="shared" si="7"/>
        <v>1</v>
      </c>
      <c r="D37" s="959"/>
      <c r="E37" s="53">
        <f t="shared" si="8"/>
        <v>1</v>
      </c>
      <c r="F37" s="959"/>
      <c r="G37" s="53">
        <f t="shared" si="9"/>
        <v>1</v>
      </c>
      <c r="H37" s="959"/>
      <c r="I37" s="53">
        <f t="shared" si="10"/>
        <v>1</v>
      </c>
      <c r="J37" s="959"/>
      <c r="K37" s="53">
        <f t="shared" si="11"/>
        <v>1</v>
      </c>
      <c r="L37" s="959"/>
      <c r="M37" s="53">
        <f t="shared" si="12"/>
        <v>1</v>
      </c>
      <c r="N37" s="959"/>
      <c r="O37" s="53">
        <f t="shared" si="13"/>
        <v>1</v>
      </c>
      <c r="P37" s="959"/>
      <c r="Q37" s="53">
        <f t="shared" si="14"/>
        <v>1</v>
      </c>
      <c r="R37" s="487">
        <f t="shared" si="15"/>
        <v>0</v>
      </c>
      <c r="S37" s="796">
        <f t="shared" si="6"/>
        <v>0</v>
      </c>
    </row>
    <row r="38" spans="1:19">
      <c r="A38" s="961"/>
      <c r="B38" s="137"/>
      <c r="C38" s="53">
        <f t="shared" si="7"/>
        <v>1</v>
      </c>
      <c r="D38" s="959"/>
      <c r="E38" s="53">
        <f t="shared" si="8"/>
        <v>1</v>
      </c>
      <c r="F38" s="959"/>
      <c r="G38" s="53">
        <f t="shared" si="9"/>
        <v>1</v>
      </c>
      <c r="H38" s="959"/>
      <c r="I38" s="53">
        <f t="shared" si="10"/>
        <v>1</v>
      </c>
      <c r="J38" s="959"/>
      <c r="K38" s="53">
        <f t="shared" si="11"/>
        <v>1</v>
      </c>
      <c r="L38" s="959"/>
      <c r="M38" s="53">
        <f t="shared" si="12"/>
        <v>1</v>
      </c>
      <c r="N38" s="959"/>
      <c r="O38" s="53">
        <f t="shared" si="13"/>
        <v>1</v>
      </c>
      <c r="P38" s="959"/>
      <c r="Q38" s="53">
        <f t="shared" si="14"/>
        <v>1</v>
      </c>
      <c r="R38" s="487">
        <f t="shared" si="15"/>
        <v>0</v>
      </c>
      <c r="S38" s="796">
        <f t="shared" si="6"/>
        <v>0</v>
      </c>
    </row>
    <row r="39" spans="1:19">
      <c r="A39" s="961"/>
      <c r="B39" s="137"/>
      <c r="C39" s="53">
        <f t="shared" si="7"/>
        <v>1</v>
      </c>
      <c r="D39" s="959"/>
      <c r="E39" s="53">
        <f t="shared" si="8"/>
        <v>1</v>
      </c>
      <c r="F39" s="959"/>
      <c r="G39" s="53">
        <f t="shared" si="9"/>
        <v>1</v>
      </c>
      <c r="H39" s="959"/>
      <c r="I39" s="53">
        <f t="shared" si="10"/>
        <v>1</v>
      </c>
      <c r="J39" s="959"/>
      <c r="K39" s="53">
        <f t="shared" si="11"/>
        <v>1</v>
      </c>
      <c r="L39" s="959"/>
      <c r="M39" s="53">
        <f t="shared" si="12"/>
        <v>1</v>
      </c>
      <c r="N39" s="959"/>
      <c r="O39" s="53">
        <f t="shared" si="13"/>
        <v>1</v>
      </c>
      <c r="P39" s="959"/>
      <c r="Q39" s="53">
        <f t="shared" si="14"/>
        <v>1</v>
      </c>
      <c r="R39" s="487">
        <f t="shared" si="15"/>
        <v>0</v>
      </c>
      <c r="S39" s="796">
        <f t="shared" si="6"/>
        <v>0</v>
      </c>
    </row>
    <row r="40" spans="1:19">
      <c r="A40" s="961"/>
      <c r="B40" s="137"/>
      <c r="C40" s="53">
        <f t="shared" si="7"/>
        <v>1</v>
      </c>
      <c r="D40" s="959"/>
      <c r="E40" s="53">
        <f t="shared" si="8"/>
        <v>1</v>
      </c>
      <c r="F40" s="959"/>
      <c r="G40" s="53">
        <f t="shared" si="9"/>
        <v>1</v>
      </c>
      <c r="H40" s="959"/>
      <c r="I40" s="53">
        <f t="shared" si="10"/>
        <v>1</v>
      </c>
      <c r="J40" s="959"/>
      <c r="K40" s="53">
        <f t="shared" si="11"/>
        <v>1</v>
      </c>
      <c r="L40" s="959"/>
      <c r="M40" s="53">
        <f t="shared" si="12"/>
        <v>1</v>
      </c>
      <c r="N40" s="959"/>
      <c r="O40" s="53">
        <f t="shared" si="13"/>
        <v>1</v>
      </c>
      <c r="P40" s="959"/>
      <c r="Q40" s="53">
        <f t="shared" si="14"/>
        <v>1</v>
      </c>
      <c r="R40" s="487">
        <f t="shared" si="15"/>
        <v>0</v>
      </c>
      <c r="S40" s="796">
        <f t="shared" si="6"/>
        <v>0</v>
      </c>
    </row>
    <row r="41" spans="1:19">
      <c r="A41" s="961"/>
      <c r="B41" s="137"/>
      <c r="C41" s="53">
        <f t="shared" si="7"/>
        <v>1</v>
      </c>
      <c r="D41" s="959"/>
      <c r="E41" s="53">
        <f t="shared" si="8"/>
        <v>1</v>
      </c>
      <c r="F41" s="959"/>
      <c r="G41" s="53">
        <f t="shared" si="9"/>
        <v>1</v>
      </c>
      <c r="H41" s="959"/>
      <c r="I41" s="53">
        <f t="shared" si="10"/>
        <v>1</v>
      </c>
      <c r="J41" s="959"/>
      <c r="K41" s="53">
        <f t="shared" si="11"/>
        <v>1</v>
      </c>
      <c r="L41" s="959"/>
      <c r="M41" s="53">
        <f t="shared" si="12"/>
        <v>1</v>
      </c>
      <c r="N41" s="959"/>
      <c r="O41" s="53">
        <f t="shared" si="13"/>
        <v>1</v>
      </c>
      <c r="P41" s="959"/>
      <c r="Q41" s="53">
        <f t="shared" si="14"/>
        <v>1</v>
      </c>
      <c r="R41" s="487">
        <f t="shared" si="15"/>
        <v>0</v>
      </c>
      <c r="S41" s="796">
        <f t="shared" si="6"/>
        <v>0</v>
      </c>
    </row>
    <row r="42" spans="1:19">
      <c r="A42" s="961"/>
      <c r="B42" s="137"/>
      <c r="C42" s="53">
        <f t="shared" si="7"/>
        <v>1</v>
      </c>
      <c r="D42" s="959"/>
      <c r="E42" s="53">
        <f t="shared" si="8"/>
        <v>1</v>
      </c>
      <c r="F42" s="959"/>
      <c r="G42" s="53">
        <f t="shared" si="9"/>
        <v>1</v>
      </c>
      <c r="H42" s="959"/>
      <c r="I42" s="53">
        <f t="shared" si="10"/>
        <v>1</v>
      </c>
      <c r="J42" s="959"/>
      <c r="K42" s="53">
        <f t="shared" si="11"/>
        <v>1</v>
      </c>
      <c r="L42" s="959"/>
      <c r="M42" s="53">
        <f t="shared" si="12"/>
        <v>1</v>
      </c>
      <c r="N42" s="959"/>
      <c r="O42" s="53">
        <f t="shared" si="13"/>
        <v>1</v>
      </c>
      <c r="P42" s="959"/>
      <c r="Q42" s="53">
        <f t="shared" si="14"/>
        <v>1</v>
      </c>
      <c r="R42" s="487">
        <f t="shared" si="15"/>
        <v>0</v>
      </c>
      <c r="S42" s="796">
        <f t="shared" si="6"/>
        <v>0</v>
      </c>
    </row>
    <row r="43" spans="1:19">
      <c r="A43" s="961"/>
      <c r="B43" s="137"/>
      <c r="C43" s="53">
        <f t="shared" si="7"/>
        <v>1</v>
      </c>
      <c r="D43" s="959"/>
      <c r="E43" s="53">
        <f t="shared" si="8"/>
        <v>1</v>
      </c>
      <c r="F43" s="959"/>
      <c r="G43" s="53">
        <f t="shared" si="9"/>
        <v>1</v>
      </c>
      <c r="H43" s="959"/>
      <c r="I43" s="53">
        <f t="shared" si="10"/>
        <v>1</v>
      </c>
      <c r="J43" s="959"/>
      <c r="K43" s="53">
        <f t="shared" si="11"/>
        <v>1</v>
      </c>
      <c r="L43" s="959"/>
      <c r="M43" s="53">
        <f t="shared" si="12"/>
        <v>1</v>
      </c>
      <c r="N43" s="959"/>
      <c r="O43" s="53">
        <f t="shared" si="13"/>
        <v>1</v>
      </c>
      <c r="P43" s="959"/>
      <c r="Q43" s="53">
        <f t="shared" si="14"/>
        <v>1</v>
      </c>
      <c r="R43" s="487">
        <f t="shared" si="15"/>
        <v>0</v>
      </c>
      <c r="S43" s="796">
        <f t="shared" si="6"/>
        <v>0</v>
      </c>
    </row>
    <row r="44" spans="1:19">
      <c r="A44" s="961"/>
      <c r="B44" s="137"/>
      <c r="C44" s="53">
        <f t="shared" si="7"/>
        <v>1</v>
      </c>
      <c r="D44" s="959"/>
      <c r="E44" s="53">
        <f t="shared" si="8"/>
        <v>1</v>
      </c>
      <c r="F44" s="959"/>
      <c r="G44" s="53">
        <f t="shared" si="9"/>
        <v>1</v>
      </c>
      <c r="H44" s="959"/>
      <c r="I44" s="53">
        <f t="shared" si="10"/>
        <v>1</v>
      </c>
      <c r="J44" s="959"/>
      <c r="K44" s="53">
        <f t="shared" si="11"/>
        <v>1</v>
      </c>
      <c r="L44" s="959"/>
      <c r="M44" s="53">
        <f t="shared" si="12"/>
        <v>1</v>
      </c>
      <c r="N44" s="959"/>
      <c r="O44" s="53">
        <f t="shared" si="13"/>
        <v>1</v>
      </c>
      <c r="P44" s="959"/>
      <c r="Q44" s="53">
        <f t="shared" si="14"/>
        <v>1</v>
      </c>
      <c r="R44" s="487">
        <f t="shared" si="15"/>
        <v>0</v>
      </c>
      <c r="S44" s="796">
        <f t="shared" si="6"/>
        <v>0</v>
      </c>
    </row>
    <row r="45" spans="1:19">
      <c r="A45" s="961"/>
      <c r="B45" s="137"/>
      <c r="C45" s="53">
        <f t="shared" si="7"/>
        <v>1</v>
      </c>
      <c r="D45" s="959"/>
      <c r="E45" s="53">
        <f t="shared" si="8"/>
        <v>1</v>
      </c>
      <c r="F45" s="959"/>
      <c r="G45" s="53">
        <f t="shared" si="9"/>
        <v>1</v>
      </c>
      <c r="H45" s="959"/>
      <c r="I45" s="53">
        <f t="shared" si="10"/>
        <v>1</v>
      </c>
      <c r="J45" s="959"/>
      <c r="K45" s="53">
        <f t="shared" si="11"/>
        <v>1</v>
      </c>
      <c r="L45" s="959"/>
      <c r="M45" s="53">
        <f t="shared" si="12"/>
        <v>1</v>
      </c>
      <c r="N45" s="959"/>
      <c r="O45" s="53">
        <f t="shared" si="13"/>
        <v>1</v>
      </c>
      <c r="P45" s="959"/>
      <c r="Q45" s="53">
        <f t="shared" si="14"/>
        <v>1</v>
      </c>
      <c r="R45" s="487">
        <f t="shared" si="15"/>
        <v>0</v>
      </c>
      <c r="S45" s="796">
        <f t="shared" si="6"/>
        <v>0</v>
      </c>
    </row>
    <row r="46" spans="1:19">
      <c r="A46" s="961"/>
      <c r="B46" s="137"/>
      <c r="C46" s="53">
        <f t="shared" si="7"/>
        <v>1</v>
      </c>
      <c r="D46" s="959"/>
      <c r="E46" s="53">
        <f t="shared" si="8"/>
        <v>1</v>
      </c>
      <c r="F46" s="959"/>
      <c r="G46" s="53">
        <f t="shared" si="9"/>
        <v>1</v>
      </c>
      <c r="H46" s="959"/>
      <c r="I46" s="53">
        <f t="shared" si="10"/>
        <v>1</v>
      </c>
      <c r="J46" s="959"/>
      <c r="K46" s="53">
        <f t="shared" si="11"/>
        <v>1</v>
      </c>
      <c r="L46" s="959"/>
      <c r="M46" s="53">
        <f t="shared" si="12"/>
        <v>1</v>
      </c>
      <c r="N46" s="959"/>
      <c r="O46" s="53">
        <f t="shared" si="13"/>
        <v>1</v>
      </c>
      <c r="P46" s="959"/>
      <c r="Q46" s="53">
        <f t="shared" si="14"/>
        <v>1</v>
      </c>
      <c r="R46" s="487">
        <f t="shared" si="15"/>
        <v>0</v>
      </c>
      <c r="S46" s="796">
        <f t="shared" si="6"/>
        <v>0</v>
      </c>
    </row>
    <row r="47" spans="1:19">
      <c r="A47" s="961"/>
      <c r="B47" s="137"/>
      <c r="C47" s="53">
        <f t="shared" si="7"/>
        <v>1</v>
      </c>
      <c r="D47" s="959"/>
      <c r="E47" s="53">
        <f t="shared" si="8"/>
        <v>1</v>
      </c>
      <c r="F47" s="959"/>
      <c r="G47" s="53">
        <f t="shared" si="9"/>
        <v>1</v>
      </c>
      <c r="H47" s="959"/>
      <c r="I47" s="53">
        <f t="shared" si="10"/>
        <v>1</v>
      </c>
      <c r="J47" s="959"/>
      <c r="K47" s="53">
        <f t="shared" si="11"/>
        <v>1</v>
      </c>
      <c r="L47" s="959"/>
      <c r="M47" s="53">
        <f t="shared" si="12"/>
        <v>1</v>
      </c>
      <c r="N47" s="959"/>
      <c r="O47" s="53">
        <f t="shared" si="13"/>
        <v>1</v>
      </c>
      <c r="P47" s="959"/>
      <c r="Q47" s="53">
        <f t="shared" si="14"/>
        <v>1</v>
      </c>
      <c r="R47" s="487">
        <f t="shared" si="15"/>
        <v>0</v>
      </c>
      <c r="S47" s="796">
        <f t="shared" si="6"/>
        <v>0</v>
      </c>
    </row>
    <row r="48" spans="1:19">
      <c r="A48" s="961"/>
      <c r="B48" s="137"/>
      <c r="C48" s="53">
        <f t="shared" si="7"/>
        <v>1</v>
      </c>
      <c r="D48" s="959"/>
      <c r="E48" s="53">
        <f t="shared" si="8"/>
        <v>1</v>
      </c>
      <c r="F48" s="959"/>
      <c r="G48" s="53">
        <f t="shared" si="9"/>
        <v>1</v>
      </c>
      <c r="H48" s="959"/>
      <c r="I48" s="53">
        <f t="shared" si="10"/>
        <v>1</v>
      </c>
      <c r="J48" s="959"/>
      <c r="K48" s="53">
        <f t="shared" si="11"/>
        <v>1</v>
      </c>
      <c r="L48" s="959"/>
      <c r="M48" s="53">
        <f t="shared" si="12"/>
        <v>1</v>
      </c>
      <c r="N48" s="959"/>
      <c r="O48" s="53">
        <f t="shared" si="13"/>
        <v>1</v>
      </c>
      <c r="P48" s="959"/>
      <c r="Q48" s="53">
        <f t="shared" si="14"/>
        <v>1</v>
      </c>
      <c r="R48" s="487">
        <f t="shared" si="15"/>
        <v>0</v>
      </c>
      <c r="S48" s="796">
        <f t="shared" si="6"/>
        <v>0</v>
      </c>
    </row>
    <row r="49" spans="1:19">
      <c r="A49" s="961"/>
      <c r="B49" s="137"/>
      <c r="C49" s="53">
        <f t="shared" si="7"/>
        <v>1</v>
      </c>
      <c r="D49" s="959"/>
      <c r="E49" s="53">
        <f t="shared" si="8"/>
        <v>1</v>
      </c>
      <c r="F49" s="959"/>
      <c r="G49" s="53">
        <f t="shared" si="9"/>
        <v>1</v>
      </c>
      <c r="H49" s="959"/>
      <c r="I49" s="53">
        <f t="shared" si="10"/>
        <v>1</v>
      </c>
      <c r="J49" s="959"/>
      <c r="K49" s="53">
        <f t="shared" si="11"/>
        <v>1</v>
      </c>
      <c r="L49" s="959"/>
      <c r="M49" s="53">
        <f t="shared" si="12"/>
        <v>1</v>
      </c>
      <c r="N49" s="959"/>
      <c r="O49" s="53">
        <f t="shared" si="13"/>
        <v>1</v>
      </c>
      <c r="P49" s="959"/>
      <c r="Q49" s="53">
        <f t="shared" si="14"/>
        <v>1</v>
      </c>
      <c r="R49" s="487">
        <f t="shared" si="15"/>
        <v>0</v>
      </c>
      <c r="S49" s="796">
        <f t="shared" si="6"/>
        <v>0</v>
      </c>
    </row>
    <row r="50" spans="1:19">
      <c r="A50" s="961"/>
      <c r="B50" s="137"/>
      <c r="C50" s="53">
        <f t="shared" si="7"/>
        <v>1</v>
      </c>
      <c r="D50" s="959"/>
      <c r="E50" s="53">
        <f t="shared" si="8"/>
        <v>1</v>
      </c>
      <c r="F50" s="959"/>
      <c r="G50" s="53">
        <f t="shared" si="9"/>
        <v>1</v>
      </c>
      <c r="H50" s="959"/>
      <c r="I50" s="53">
        <f t="shared" si="10"/>
        <v>1</v>
      </c>
      <c r="J50" s="959"/>
      <c r="K50" s="53">
        <f t="shared" si="11"/>
        <v>1</v>
      </c>
      <c r="L50" s="959"/>
      <c r="M50" s="53">
        <f t="shared" si="12"/>
        <v>1</v>
      </c>
      <c r="N50" s="959"/>
      <c r="O50" s="53">
        <f t="shared" si="13"/>
        <v>1</v>
      </c>
      <c r="P50" s="959"/>
      <c r="Q50" s="53">
        <f t="shared" si="14"/>
        <v>1</v>
      </c>
      <c r="R50" s="487">
        <f t="shared" si="15"/>
        <v>0</v>
      </c>
      <c r="S50" s="796">
        <f t="shared" si="6"/>
        <v>0</v>
      </c>
    </row>
    <row r="51" spans="1:19">
      <c r="A51" s="961"/>
      <c r="B51" s="137"/>
      <c r="C51" s="53">
        <f t="shared" si="7"/>
        <v>1</v>
      </c>
      <c r="D51" s="959"/>
      <c r="E51" s="53">
        <f t="shared" si="8"/>
        <v>1</v>
      </c>
      <c r="F51" s="959"/>
      <c r="G51" s="53">
        <f t="shared" si="9"/>
        <v>1</v>
      </c>
      <c r="H51" s="959"/>
      <c r="I51" s="53">
        <f t="shared" si="10"/>
        <v>1</v>
      </c>
      <c r="J51" s="959"/>
      <c r="K51" s="53">
        <f t="shared" si="11"/>
        <v>1</v>
      </c>
      <c r="L51" s="959"/>
      <c r="M51" s="53">
        <f t="shared" si="12"/>
        <v>1</v>
      </c>
      <c r="N51" s="959"/>
      <c r="O51" s="53">
        <f t="shared" si="13"/>
        <v>1</v>
      </c>
      <c r="P51" s="959"/>
      <c r="Q51" s="53">
        <f t="shared" si="14"/>
        <v>1</v>
      </c>
      <c r="R51" s="487">
        <f t="shared" si="15"/>
        <v>0</v>
      </c>
      <c r="S51" s="796">
        <f t="shared" si="6"/>
        <v>0</v>
      </c>
    </row>
    <row r="52" spans="1:19">
      <c r="A52" s="961"/>
      <c r="B52" s="137"/>
      <c r="C52" s="53">
        <f t="shared" si="7"/>
        <v>1</v>
      </c>
      <c r="D52" s="959"/>
      <c r="E52" s="53">
        <f t="shared" si="8"/>
        <v>1</v>
      </c>
      <c r="F52" s="959"/>
      <c r="G52" s="53">
        <f t="shared" si="9"/>
        <v>1</v>
      </c>
      <c r="H52" s="959"/>
      <c r="I52" s="53">
        <f t="shared" si="10"/>
        <v>1</v>
      </c>
      <c r="J52" s="959"/>
      <c r="K52" s="53">
        <f t="shared" si="11"/>
        <v>1</v>
      </c>
      <c r="L52" s="959"/>
      <c r="M52" s="53">
        <f t="shared" si="12"/>
        <v>1</v>
      </c>
      <c r="N52" s="959"/>
      <c r="O52" s="53">
        <f t="shared" si="13"/>
        <v>1</v>
      </c>
      <c r="P52" s="959"/>
      <c r="Q52" s="53">
        <f t="shared" si="14"/>
        <v>1</v>
      </c>
      <c r="R52" s="487">
        <f t="shared" si="15"/>
        <v>0</v>
      </c>
      <c r="S52" s="796">
        <f t="shared" si="6"/>
        <v>0</v>
      </c>
    </row>
    <row r="53" spans="1:19">
      <c r="A53" s="961"/>
      <c r="B53" s="137"/>
      <c r="C53" s="53">
        <f t="shared" si="7"/>
        <v>1</v>
      </c>
      <c r="D53" s="959"/>
      <c r="E53" s="53">
        <f t="shared" si="8"/>
        <v>1</v>
      </c>
      <c r="F53" s="959"/>
      <c r="G53" s="53">
        <f t="shared" si="9"/>
        <v>1</v>
      </c>
      <c r="H53" s="959"/>
      <c r="I53" s="53">
        <f t="shared" si="10"/>
        <v>1</v>
      </c>
      <c r="J53" s="959"/>
      <c r="K53" s="53">
        <f t="shared" si="11"/>
        <v>1</v>
      </c>
      <c r="L53" s="959"/>
      <c r="M53" s="53">
        <f t="shared" si="12"/>
        <v>1</v>
      </c>
      <c r="N53" s="959"/>
      <c r="O53" s="53">
        <f t="shared" si="13"/>
        <v>1</v>
      </c>
      <c r="P53" s="959"/>
      <c r="Q53" s="53">
        <f t="shared" si="14"/>
        <v>1</v>
      </c>
      <c r="R53" s="487">
        <f t="shared" si="15"/>
        <v>0</v>
      </c>
      <c r="S53" s="796">
        <f t="shared" si="6"/>
        <v>0</v>
      </c>
    </row>
    <row r="54" spans="1:19">
      <c r="A54" s="961"/>
      <c r="B54" s="137"/>
      <c r="C54" s="53">
        <f t="shared" si="7"/>
        <v>1</v>
      </c>
      <c r="D54" s="959"/>
      <c r="E54" s="53">
        <f t="shared" si="8"/>
        <v>1</v>
      </c>
      <c r="F54" s="959"/>
      <c r="G54" s="53">
        <f t="shared" si="9"/>
        <v>1</v>
      </c>
      <c r="H54" s="959"/>
      <c r="I54" s="53">
        <f t="shared" si="10"/>
        <v>1</v>
      </c>
      <c r="J54" s="959"/>
      <c r="K54" s="53">
        <f t="shared" si="11"/>
        <v>1</v>
      </c>
      <c r="L54" s="959"/>
      <c r="M54" s="53">
        <f t="shared" si="12"/>
        <v>1</v>
      </c>
      <c r="N54" s="959"/>
      <c r="O54" s="53">
        <f t="shared" si="13"/>
        <v>1</v>
      </c>
      <c r="P54" s="959"/>
      <c r="Q54" s="53">
        <f t="shared" si="14"/>
        <v>1</v>
      </c>
      <c r="R54" s="487">
        <f t="shared" si="15"/>
        <v>0</v>
      </c>
      <c r="S54" s="796">
        <f t="shared" si="6"/>
        <v>0</v>
      </c>
    </row>
    <row r="55" spans="1:19">
      <c r="A55" s="961"/>
      <c r="B55" s="137"/>
      <c r="C55" s="53">
        <f t="shared" si="7"/>
        <v>1</v>
      </c>
      <c r="D55" s="959"/>
      <c r="E55" s="53">
        <f t="shared" si="8"/>
        <v>1</v>
      </c>
      <c r="F55" s="959"/>
      <c r="G55" s="53">
        <f t="shared" si="9"/>
        <v>1</v>
      </c>
      <c r="H55" s="959"/>
      <c r="I55" s="53">
        <f t="shared" si="10"/>
        <v>1</v>
      </c>
      <c r="J55" s="959"/>
      <c r="K55" s="53">
        <f t="shared" si="11"/>
        <v>1</v>
      </c>
      <c r="L55" s="959"/>
      <c r="M55" s="53">
        <f t="shared" si="12"/>
        <v>1</v>
      </c>
      <c r="N55" s="959"/>
      <c r="O55" s="53">
        <f t="shared" si="13"/>
        <v>1</v>
      </c>
      <c r="P55" s="959"/>
      <c r="Q55" s="53">
        <f t="shared" si="14"/>
        <v>1</v>
      </c>
      <c r="R55" s="487">
        <f t="shared" si="15"/>
        <v>0</v>
      </c>
      <c r="S55" s="796">
        <f t="shared" ref="S55:S77" si="16">ROUND(R55*B55/10000,0)</f>
        <v>0</v>
      </c>
    </row>
    <row r="56" spans="1:19">
      <c r="A56" s="961"/>
      <c r="B56" s="137"/>
      <c r="C56" s="53">
        <f t="shared" si="7"/>
        <v>1</v>
      </c>
      <c r="D56" s="959"/>
      <c r="E56" s="53">
        <f t="shared" si="8"/>
        <v>1</v>
      </c>
      <c r="F56" s="959"/>
      <c r="G56" s="53">
        <f t="shared" si="9"/>
        <v>1</v>
      </c>
      <c r="H56" s="959"/>
      <c r="I56" s="53">
        <f t="shared" si="10"/>
        <v>1</v>
      </c>
      <c r="J56" s="959"/>
      <c r="K56" s="53">
        <f t="shared" si="11"/>
        <v>1</v>
      </c>
      <c r="L56" s="959"/>
      <c r="M56" s="53">
        <f t="shared" si="12"/>
        <v>1</v>
      </c>
      <c r="N56" s="959"/>
      <c r="O56" s="53">
        <f t="shared" si="13"/>
        <v>1</v>
      </c>
      <c r="P56" s="959"/>
      <c r="Q56" s="53">
        <f t="shared" si="14"/>
        <v>1</v>
      </c>
      <c r="R56" s="487">
        <f t="shared" si="15"/>
        <v>0</v>
      </c>
      <c r="S56" s="796">
        <f t="shared" si="16"/>
        <v>0</v>
      </c>
    </row>
    <row r="57" spans="1:19">
      <c r="A57" s="961"/>
      <c r="B57" s="137"/>
      <c r="C57" s="53">
        <f t="shared" si="7"/>
        <v>1</v>
      </c>
      <c r="D57" s="959"/>
      <c r="E57" s="53">
        <f t="shared" si="8"/>
        <v>1</v>
      </c>
      <c r="F57" s="959"/>
      <c r="G57" s="53">
        <f t="shared" si="9"/>
        <v>1</v>
      </c>
      <c r="H57" s="959"/>
      <c r="I57" s="53">
        <f t="shared" si="10"/>
        <v>1</v>
      </c>
      <c r="J57" s="959"/>
      <c r="K57" s="53">
        <f t="shared" si="11"/>
        <v>1</v>
      </c>
      <c r="L57" s="959"/>
      <c r="M57" s="53">
        <f t="shared" si="12"/>
        <v>1</v>
      </c>
      <c r="N57" s="959"/>
      <c r="O57" s="53">
        <f t="shared" si="13"/>
        <v>1</v>
      </c>
      <c r="P57" s="959"/>
      <c r="Q57" s="53">
        <f t="shared" si="14"/>
        <v>1</v>
      </c>
      <c r="R57" s="487">
        <f t="shared" si="15"/>
        <v>0</v>
      </c>
      <c r="S57" s="796">
        <f t="shared" si="16"/>
        <v>0</v>
      </c>
    </row>
    <row r="58" spans="1:19">
      <c r="A58" s="961"/>
      <c r="B58" s="137"/>
      <c r="C58" s="53">
        <f t="shared" si="7"/>
        <v>1</v>
      </c>
      <c r="D58" s="959"/>
      <c r="E58" s="53">
        <f t="shared" si="8"/>
        <v>1</v>
      </c>
      <c r="F58" s="959"/>
      <c r="G58" s="53">
        <f t="shared" si="9"/>
        <v>1</v>
      </c>
      <c r="H58" s="959"/>
      <c r="I58" s="53">
        <f t="shared" si="10"/>
        <v>1</v>
      </c>
      <c r="J58" s="959"/>
      <c r="K58" s="53">
        <f t="shared" si="11"/>
        <v>1</v>
      </c>
      <c r="L58" s="959"/>
      <c r="M58" s="53">
        <f t="shared" si="12"/>
        <v>1</v>
      </c>
      <c r="N58" s="959"/>
      <c r="O58" s="53">
        <f t="shared" si="13"/>
        <v>1</v>
      </c>
      <c r="P58" s="959"/>
      <c r="Q58" s="53">
        <f t="shared" si="14"/>
        <v>1</v>
      </c>
      <c r="R58" s="487">
        <f t="shared" si="15"/>
        <v>0</v>
      </c>
      <c r="S58" s="796">
        <f t="shared" si="16"/>
        <v>0</v>
      </c>
    </row>
    <row r="59" spans="1:19">
      <c r="A59" s="961"/>
      <c r="B59" s="137"/>
      <c r="C59" s="53">
        <f t="shared" si="7"/>
        <v>1</v>
      </c>
      <c r="D59" s="959"/>
      <c r="E59" s="53">
        <f t="shared" si="8"/>
        <v>1</v>
      </c>
      <c r="F59" s="959"/>
      <c r="G59" s="53">
        <f t="shared" si="9"/>
        <v>1</v>
      </c>
      <c r="H59" s="959"/>
      <c r="I59" s="53">
        <f t="shared" si="10"/>
        <v>1</v>
      </c>
      <c r="J59" s="959"/>
      <c r="K59" s="53">
        <f t="shared" si="11"/>
        <v>1</v>
      </c>
      <c r="L59" s="959"/>
      <c r="M59" s="53">
        <f t="shared" si="12"/>
        <v>1</v>
      </c>
      <c r="N59" s="959"/>
      <c r="O59" s="53">
        <f t="shared" si="13"/>
        <v>1</v>
      </c>
      <c r="P59" s="959"/>
      <c r="Q59" s="53">
        <f t="shared" si="14"/>
        <v>1</v>
      </c>
      <c r="R59" s="487">
        <f t="shared" si="15"/>
        <v>0</v>
      </c>
      <c r="S59" s="796">
        <f t="shared" si="16"/>
        <v>0</v>
      </c>
    </row>
    <row r="60" spans="1:19">
      <c r="A60" s="961"/>
      <c r="B60" s="137"/>
      <c r="C60" s="53">
        <f t="shared" si="7"/>
        <v>1</v>
      </c>
      <c r="D60" s="959"/>
      <c r="E60" s="53">
        <f t="shared" si="8"/>
        <v>1</v>
      </c>
      <c r="F60" s="959"/>
      <c r="G60" s="53">
        <f t="shared" si="9"/>
        <v>1</v>
      </c>
      <c r="H60" s="959"/>
      <c r="I60" s="53">
        <f t="shared" si="10"/>
        <v>1</v>
      </c>
      <c r="J60" s="959"/>
      <c r="K60" s="53">
        <f t="shared" si="11"/>
        <v>1</v>
      </c>
      <c r="L60" s="959"/>
      <c r="M60" s="53">
        <f t="shared" si="12"/>
        <v>1</v>
      </c>
      <c r="N60" s="959"/>
      <c r="O60" s="53">
        <f t="shared" si="13"/>
        <v>1</v>
      </c>
      <c r="P60" s="959"/>
      <c r="Q60" s="53">
        <f t="shared" si="14"/>
        <v>1</v>
      </c>
      <c r="R60" s="487">
        <f t="shared" si="15"/>
        <v>0</v>
      </c>
      <c r="S60" s="796">
        <f t="shared" si="16"/>
        <v>0</v>
      </c>
    </row>
    <row r="61" spans="1:19">
      <c r="A61" s="961"/>
      <c r="B61" s="137"/>
      <c r="C61" s="53">
        <f t="shared" si="7"/>
        <v>1</v>
      </c>
      <c r="D61" s="959"/>
      <c r="E61" s="53">
        <f t="shared" si="8"/>
        <v>1</v>
      </c>
      <c r="F61" s="959"/>
      <c r="G61" s="53">
        <f t="shared" si="9"/>
        <v>1</v>
      </c>
      <c r="H61" s="959"/>
      <c r="I61" s="53">
        <f t="shared" si="10"/>
        <v>1</v>
      </c>
      <c r="J61" s="959"/>
      <c r="K61" s="53">
        <f t="shared" si="11"/>
        <v>1</v>
      </c>
      <c r="L61" s="959"/>
      <c r="M61" s="53">
        <f t="shared" si="12"/>
        <v>1</v>
      </c>
      <c r="N61" s="959"/>
      <c r="O61" s="53">
        <f t="shared" si="13"/>
        <v>1</v>
      </c>
      <c r="P61" s="959"/>
      <c r="Q61" s="53">
        <f t="shared" si="14"/>
        <v>1</v>
      </c>
      <c r="R61" s="487">
        <f t="shared" si="15"/>
        <v>0</v>
      </c>
      <c r="S61" s="796">
        <f t="shared" si="16"/>
        <v>0</v>
      </c>
    </row>
    <row r="62" spans="1:19">
      <c r="A62" s="961"/>
      <c r="B62" s="137"/>
      <c r="C62" s="53">
        <f t="shared" si="7"/>
        <v>1</v>
      </c>
      <c r="D62" s="959"/>
      <c r="E62" s="53">
        <f t="shared" si="8"/>
        <v>1</v>
      </c>
      <c r="F62" s="959"/>
      <c r="G62" s="53">
        <f t="shared" si="9"/>
        <v>1</v>
      </c>
      <c r="H62" s="959"/>
      <c r="I62" s="53">
        <f t="shared" si="10"/>
        <v>1</v>
      </c>
      <c r="J62" s="959"/>
      <c r="K62" s="53">
        <f t="shared" si="11"/>
        <v>1</v>
      </c>
      <c r="L62" s="959"/>
      <c r="M62" s="53">
        <f t="shared" si="12"/>
        <v>1</v>
      </c>
      <c r="N62" s="959"/>
      <c r="O62" s="53">
        <f t="shared" si="13"/>
        <v>1</v>
      </c>
      <c r="P62" s="959"/>
      <c r="Q62" s="53">
        <f t="shared" si="14"/>
        <v>1</v>
      </c>
      <c r="R62" s="487">
        <f t="shared" si="15"/>
        <v>0</v>
      </c>
      <c r="S62" s="796">
        <f t="shared" si="16"/>
        <v>0</v>
      </c>
    </row>
    <row r="63" spans="1:19">
      <c r="A63" s="961"/>
      <c r="B63" s="137"/>
      <c r="C63" s="53">
        <f t="shared" si="7"/>
        <v>1</v>
      </c>
      <c r="D63" s="959"/>
      <c r="E63" s="53">
        <f t="shared" si="8"/>
        <v>1</v>
      </c>
      <c r="F63" s="959"/>
      <c r="G63" s="53">
        <f t="shared" si="9"/>
        <v>1</v>
      </c>
      <c r="H63" s="959"/>
      <c r="I63" s="53">
        <f t="shared" si="10"/>
        <v>1</v>
      </c>
      <c r="J63" s="959"/>
      <c r="K63" s="53">
        <f t="shared" si="11"/>
        <v>1</v>
      </c>
      <c r="L63" s="959"/>
      <c r="M63" s="53">
        <f t="shared" si="12"/>
        <v>1</v>
      </c>
      <c r="N63" s="959"/>
      <c r="O63" s="53">
        <f t="shared" si="13"/>
        <v>1</v>
      </c>
      <c r="P63" s="959"/>
      <c r="Q63" s="53">
        <f t="shared" si="14"/>
        <v>1</v>
      </c>
      <c r="R63" s="487">
        <f t="shared" si="15"/>
        <v>0</v>
      </c>
      <c r="S63" s="796">
        <f t="shared" si="16"/>
        <v>0</v>
      </c>
    </row>
    <row r="64" spans="1:19">
      <c r="A64" s="961"/>
      <c r="B64" s="137"/>
      <c r="C64" s="53">
        <f t="shared" si="7"/>
        <v>1</v>
      </c>
      <c r="D64" s="959"/>
      <c r="E64" s="53">
        <f t="shared" si="8"/>
        <v>1</v>
      </c>
      <c r="F64" s="959"/>
      <c r="G64" s="53">
        <f t="shared" si="9"/>
        <v>1</v>
      </c>
      <c r="H64" s="959"/>
      <c r="I64" s="53">
        <f t="shared" si="10"/>
        <v>1</v>
      </c>
      <c r="J64" s="959"/>
      <c r="K64" s="53">
        <f t="shared" si="11"/>
        <v>1</v>
      </c>
      <c r="L64" s="959"/>
      <c r="M64" s="53">
        <f t="shared" si="12"/>
        <v>1</v>
      </c>
      <c r="N64" s="959"/>
      <c r="O64" s="53">
        <f t="shared" si="13"/>
        <v>1</v>
      </c>
      <c r="P64" s="959"/>
      <c r="Q64" s="53">
        <f t="shared" si="14"/>
        <v>1</v>
      </c>
      <c r="R64" s="487">
        <f t="shared" si="15"/>
        <v>0</v>
      </c>
      <c r="S64" s="796">
        <f t="shared" si="16"/>
        <v>0</v>
      </c>
    </row>
    <row r="65" spans="1:19">
      <c r="A65" s="961"/>
      <c r="B65" s="137"/>
      <c r="C65" s="53">
        <f t="shared" si="7"/>
        <v>1</v>
      </c>
      <c r="D65" s="959"/>
      <c r="E65" s="53">
        <f t="shared" si="8"/>
        <v>1</v>
      </c>
      <c r="F65" s="959"/>
      <c r="G65" s="53">
        <f t="shared" si="9"/>
        <v>1</v>
      </c>
      <c r="H65" s="959"/>
      <c r="I65" s="53">
        <f t="shared" si="10"/>
        <v>1</v>
      </c>
      <c r="J65" s="959"/>
      <c r="K65" s="53">
        <f t="shared" si="11"/>
        <v>1</v>
      </c>
      <c r="L65" s="959"/>
      <c r="M65" s="53">
        <f t="shared" si="12"/>
        <v>1</v>
      </c>
      <c r="N65" s="959"/>
      <c r="O65" s="53">
        <f t="shared" si="13"/>
        <v>1</v>
      </c>
      <c r="P65" s="959"/>
      <c r="Q65" s="53">
        <f t="shared" si="14"/>
        <v>1</v>
      </c>
      <c r="R65" s="487">
        <f t="shared" si="15"/>
        <v>0</v>
      </c>
      <c r="S65" s="796">
        <f t="shared" si="16"/>
        <v>0</v>
      </c>
    </row>
    <row r="66" spans="1:19">
      <c r="A66" s="961"/>
      <c r="B66" s="137"/>
      <c r="C66" s="53">
        <f t="shared" si="7"/>
        <v>1</v>
      </c>
      <c r="D66" s="959"/>
      <c r="E66" s="53">
        <f t="shared" si="8"/>
        <v>1</v>
      </c>
      <c r="F66" s="959"/>
      <c r="G66" s="53">
        <f t="shared" si="9"/>
        <v>1</v>
      </c>
      <c r="H66" s="959"/>
      <c r="I66" s="53">
        <f t="shared" si="10"/>
        <v>1</v>
      </c>
      <c r="J66" s="959"/>
      <c r="K66" s="53">
        <f t="shared" si="11"/>
        <v>1</v>
      </c>
      <c r="L66" s="959"/>
      <c r="M66" s="53">
        <f t="shared" si="12"/>
        <v>1</v>
      </c>
      <c r="N66" s="959"/>
      <c r="O66" s="53">
        <f t="shared" si="13"/>
        <v>1</v>
      </c>
      <c r="P66" s="959"/>
      <c r="Q66" s="53">
        <f t="shared" si="14"/>
        <v>1</v>
      </c>
      <c r="R66" s="487">
        <f t="shared" si="15"/>
        <v>0</v>
      </c>
      <c r="S66" s="796">
        <f t="shared" si="16"/>
        <v>0</v>
      </c>
    </row>
    <row r="67" spans="1:19">
      <c r="A67" s="961"/>
      <c r="B67" s="137"/>
      <c r="C67" s="53">
        <f t="shared" si="7"/>
        <v>1</v>
      </c>
      <c r="D67" s="959"/>
      <c r="E67" s="53">
        <f t="shared" si="8"/>
        <v>1</v>
      </c>
      <c r="F67" s="959"/>
      <c r="G67" s="53">
        <f t="shared" si="9"/>
        <v>1</v>
      </c>
      <c r="H67" s="959"/>
      <c r="I67" s="53">
        <f t="shared" si="10"/>
        <v>1</v>
      </c>
      <c r="J67" s="959"/>
      <c r="K67" s="53">
        <f t="shared" si="11"/>
        <v>1</v>
      </c>
      <c r="L67" s="959"/>
      <c r="M67" s="53">
        <f t="shared" si="12"/>
        <v>1</v>
      </c>
      <c r="N67" s="959"/>
      <c r="O67" s="53">
        <f t="shared" si="13"/>
        <v>1</v>
      </c>
      <c r="P67" s="959"/>
      <c r="Q67" s="53">
        <f t="shared" si="14"/>
        <v>1</v>
      </c>
      <c r="R67" s="487">
        <f t="shared" si="15"/>
        <v>0</v>
      </c>
      <c r="S67" s="796">
        <f t="shared" si="16"/>
        <v>0</v>
      </c>
    </row>
    <row r="68" spans="1:19">
      <c r="A68" s="961"/>
      <c r="B68" s="137"/>
      <c r="C68" s="53">
        <f t="shared" si="7"/>
        <v>1</v>
      </c>
      <c r="D68" s="959"/>
      <c r="E68" s="53">
        <f t="shared" si="8"/>
        <v>1</v>
      </c>
      <c r="F68" s="959"/>
      <c r="G68" s="53">
        <f t="shared" si="9"/>
        <v>1</v>
      </c>
      <c r="H68" s="959"/>
      <c r="I68" s="53">
        <f t="shared" si="10"/>
        <v>1</v>
      </c>
      <c r="J68" s="959"/>
      <c r="K68" s="53">
        <f t="shared" si="11"/>
        <v>1</v>
      </c>
      <c r="L68" s="959"/>
      <c r="M68" s="53">
        <f t="shared" si="12"/>
        <v>1</v>
      </c>
      <c r="N68" s="959"/>
      <c r="O68" s="53">
        <f t="shared" si="13"/>
        <v>1</v>
      </c>
      <c r="P68" s="959"/>
      <c r="Q68" s="53">
        <f t="shared" si="14"/>
        <v>1</v>
      </c>
      <c r="R68" s="487">
        <f t="shared" si="15"/>
        <v>0</v>
      </c>
      <c r="S68" s="796">
        <f t="shared" si="16"/>
        <v>0</v>
      </c>
    </row>
    <row r="69" spans="1:19">
      <c r="A69" s="961"/>
      <c r="B69" s="137"/>
      <c r="C69" s="53">
        <f t="shared" si="7"/>
        <v>1</v>
      </c>
      <c r="D69" s="959"/>
      <c r="E69" s="53">
        <f t="shared" si="8"/>
        <v>1</v>
      </c>
      <c r="F69" s="959"/>
      <c r="G69" s="53">
        <f t="shared" si="9"/>
        <v>1</v>
      </c>
      <c r="H69" s="959"/>
      <c r="I69" s="53">
        <f t="shared" si="10"/>
        <v>1</v>
      </c>
      <c r="J69" s="959"/>
      <c r="K69" s="53">
        <f t="shared" si="11"/>
        <v>1</v>
      </c>
      <c r="L69" s="959"/>
      <c r="M69" s="53">
        <f t="shared" si="12"/>
        <v>1</v>
      </c>
      <c r="N69" s="959"/>
      <c r="O69" s="53">
        <f t="shared" si="13"/>
        <v>1</v>
      </c>
      <c r="P69" s="959"/>
      <c r="Q69" s="53">
        <f t="shared" si="14"/>
        <v>1</v>
      </c>
      <c r="R69" s="487">
        <f t="shared" si="15"/>
        <v>0</v>
      </c>
      <c r="S69" s="796">
        <f t="shared" si="16"/>
        <v>0</v>
      </c>
    </row>
    <row r="70" spans="1:19">
      <c r="A70" s="961"/>
      <c r="B70" s="137"/>
      <c r="C70" s="53">
        <f t="shared" si="7"/>
        <v>1</v>
      </c>
      <c r="D70" s="959"/>
      <c r="E70" s="53">
        <f t="shared" si="8"/>
        <v>1</v>
      </c>
      <c r="F70" s="959"/>
      <c r="G70" s="53">
        <f t="shared" si="9"/>
        <v>1</v>
      </c>
      <c r="H70" s="959"/>
      <c r="I70" s="53">
        <f t="shared" si="10"/>
        <v>1</v>
      </c>
      <c r="J70" s="959"/>
      <c r="K70" s="53">
        <f t="shared" si="11"/>
        <v>1</v>
      </c>
      <c r="L70" s="959"/>
      <c r="M70" s="53">
        <f t="shared" si="12"/>
        <v>1</v>
      </c>
      <c r="N70" s="959"/>
      <c r="O70" s="53">
        <f t="shared" si="13"/>
        <v>1</v>
      </c>
      <c r="P70" s="959"/>
      <c r="Q70" s="53">
        <f t="shared" si="14"/>
        <v>1</v>
      </c>
      <c r="R70" s="487">
        <f t="shared" si="15"/>
        <v>0</v>
      </c>
      <c r="S70" s="796">
        <f t="shared" si="16"/>
        <v>0</v>
      </c>
    </row>
    <row r="71" spans="1:19">
      <c r="A71" s="961"/>
      <c r="B71" s="137"/>
      <c r="C71" s="53">
        <f t="shared" si="7"/>
        <v>1</v>
      </c>
      <c r="D71" s="959"/>
      <c r="E71" s="53">
        <f t="shared" si="8"/>
        <v>1</v>
      </c>
      <c r="F71" s="959"/>
      <c r="G71" s="53">
        <f t="shared" si="9"/>
        <v>1</v>
      </c>
      <c r="H71" s="959"/>
      <c r="I71" s="53">
        <f t="shared" si="10"/>
        <v>1</v>
      </c>
      <c r="J71" s="959"/>
      <c r="K71" s="53">
        <f t="shared" si="11"/>
        <v>1</v>
      </c>
      <c r="L71" s="959"/>
      <c r="M71" s="53">
        <f t="shared" si="12"/>
        <v>1</v>
      </c>
      <c r="N71" s="959"/>
      <c r="O71" s="53">
        <f t="shared" si="13"/>
        <v>1</v>
      </c>
      <c r="P71" s="959"/>
      <c r="Q71" s="53">
        <f t="shared" si="14"/>
        <v>1</v>
      </c>
      <c r="R71" s="487">
        <f t="shared" si="15"/>
        <v>0</v>
      </c>
      <c r="S71" s="796">
        <f t="shared" si="16"/>
        <v>0</v>
      </c>
    </row>
    <row r="72" spans="1:19">
      <c r="A72" s="961"/>
      <c r="B72" s="137"/>
      <c r="C72" s="53">
        <f t="shared" si="7"/>
        <v>1</v>
      </c>
      <c r="D72" s="959"/>
      <c r="E72" s="53">
        <f t="shared" si="8"/>
        <v>1</v>
      </c>
      <c r="F72" s="959"/>
      <c r="G72" s="53">
        <f t="shared" si="9"/>
        <v>1</v>
      </c>
      <c r="H72" s="959"/>
      <c r="I72" s="53">
        <f t="shared" si="10"/>
        <v>1</v>
      </c>
      <c r="J72" s="959"/>
      <c r="K72" s="53">
        <f t="shared" si="11"/>
        <v>1</v>
      </c>
      <c r="L72" s="959"/>
      <c r="M72" s="53">
        <f t="shared" si="12"/>
        <v>1</v>
      </c>
      <c r="N72" s="959"/>
      <c r="O72" s="53">
        <f t="shared" si="13"/>
        <v>1</v>
      </c>
      <c r="P72" s="959"/>
      <c r="Q72" s="53">
        <f t="shared" si="14"/>
        <v>1</v>
      </c>
      <c r="R72" s="487">
        <f t="shared" si="15"/>
        <v>0</v>
      </c>
      <c r="S72" s="796">
        <f t="shared" si="16"/>
        <v>0</v>
      </c>
    </row>
    <row r="73" spans="1:19">
      <c r="A73" s="961"/>
      <c r="B73" s="137"/>
      <c r="C73" s="53">
        <f t="shared" si="7"/>
        <v>1</v>
      </c>
      <c r="D73" s="959"/>
      <c r="E73" s="53">
        <f t="shared" si="8"/>
        <v>1</v>
      </c>
      <c r="F73" s="959"/>
      <c r="G73" s="53">
        <f t="shared" si="9"/>
        <v>1</v>
      </c>
      <c r="H73" s="959"/>
      <c r="I73" s="53">
        <f t="shared" si="10"/>
        <v>1</v>
      </c>
      <c r="J73" s="959"/>
      <c r="K73" s="53">
        <f t="shared" si="11"/>
        <v>1</v>
      </c>
      <c r="L73" s="959"/>
      <c r="M73" s="53">
        <f t="shared" si="12"/>
        <v>1</v>
      </c>
      <c r="N73" s="959"/>
      <c r="O73" s="53">
        <f t="shared" si="13"/>
        <v>1</v>
      </c>
      <c r="P73" s="959"/>
      <c r="Q73" s="53">
        <f t="shared" si="14"/>
        <v>1</v>
      </c>
      <c r="R73" s="487">
        <f t="shared" si="15"/>
        <v>0</v>
      </c>
      <c r="S73" s="796">
        <f t="shared" si="16"/>
        <v>0</v>
      </c>
    </row>
    <row r="74" spans="1:19">
      <c r="A74" s="961"/>
      <c r="B74" s="137"/>
      <c r="C74" s="53">
        <f t="shared" si="7"/>
        <v>1</v>
      </c>
      <c r="D74" s="959"/>
      <c r="E74" s="53">
        <f t="shared" si="8"/>
        <v>1</v>
      </c>
      <c r="F74" s="959"/>
      <c r="G74" s="53">
        <f t="shared" si="9"/>
        <v>1</v>
      </c>
      <c r="H74" s="959"/>
      <c r="I74" s="53">
        <f t="shared" si="10"/>
        <v>1</v>
      </c>
      <c r="J74" s="959"/>
      <c r="K74" s="53">
        <f t="shared" si="11"/>
        <v>1</v>
      </c>
      <c r="L74" s="959"/>
      <c r="M74" s="53">
        <f t="shared" si="12"/>
        <v>1</v>
      </c>
      <c r="N74" s="959"/>
      <c r="O74" s="53">
        <f t="shared" si="13"/>
        <v>1</v>
      </c>
      <c r="P74" s="959"/>
      <c r="Q74" s="53">
        <f t="shared" si="14"/>
        <v>1</v>
      </c>
      <c r="R74" s="487">
        <f t="shared" si="15"/>
        <v>0</v>
      </c>
      <c r="S74" s="796">
        <f t="shared" si="16"/>
        <v>0</v>
      </c>
    </row>
    <row r="75" spans="1:19">
      <c r="A75" s="961"/>
      <c r="B75" s="137"/>
      <c r="C75" s="53">
        <f t="shared" si="7"/>
        <v>1</v>
      </c>
      <c r="D75" s="959"/>
      <c r="E75" s="53">
        <f t="shared" si="8"/>
        <v>1</v>
      </c>
      <c r="F75" s="959"/>
      <c r="G75" s="53">
        <f t="shared" si="9"/>
        <v>1</v>
      </c>
      <c r="H75" s="959"/>
      <c r="I75" s="53">
        <f t="shared" si="10"/>
        <v>1</v>
      </c>
      <c r="J75" s="959"/>
      <c r="K75" s="53">
        <f t="shared" si="11"/>
        <v>1</v>
      </c>
      <c r="L75" s="959"/>
      <c r="M75" s="53">
        <f t="shared" si="12"/>
        <v>1</v>
      </c>
      <c r="N75" s="959"/>
      <c r="O75" s="53">
        <f t="shared" si="13"/>
        <v>1</v>
      </c>
      <c r="P75" s="959"/>
      <c r="Q75" s="53">
        <f t="shared" si="14"/>
        <v>1</v>
      </c>
      <c r="R75" s="487">
        <f t="shared" si="15"/>
        <v>0</v>
      </c>
      <c r="S75" s="796">
        <f t="shared" si="16"/>
        <v>0</v>
      </c>
    </row>
    <row r="76" spans="1:19">
      <c r="A76" s="961"/>
      <c r="B76" s="137"/>
      <c r="C76" s="53">
        <f t="shared" si="7"/>
        <v>1</v>
      </c>
      <c r="D76" s="959"/>
      <c r="E76" s="53">
        <f t="shared" si="8"/>
        <v>1</v>
      </c>
      <c r="F76" s="959"/>
      <c r="G76" s="53">
        <f t="shared" si="9"/>
        <v>1</v>
      </c>
      <c r="H76" s="959"/>
      <c r="I76" s="53">
        <f t="shared" si="10"/>
        <v>1</v>
      </c>
      <c r="J76" s="959"/>
      <c r="K76" s="53">
        <f t="shared" si="11"/>
        <v>1</v>
      </c>
      <c r="L76" s="959"/>
      <c r="M76" s="53">
        <f t="shared" si="12"/>
        <v>1</v>
      </c>
      <c r="N76" s="959"/>
      <c r="O76" s="53">
        <f t="shared" si="13"/>
        <v>1</v>
      </c>
      <c r="P76" s="959"/>
      <c r="Q76" s="53">
        <f t="shared" si="14"/>
        <v>1</v>
      </c>
      <c r="R76" s="487">
        <f t="shared" si="15"/>
        <v>0</v>
      </c>
      <c r="S76" s="796">
        <f t="shared" si="16"/>
        <v>0</v>
      </c>
    </row>
    <row r="77" spans="1:19">
      <c r="A77" s="961"/>
      <c r="B77" s="137"/>
      <c r="C77" s="53">
        <f t="shared" si="7"/>
        <v>1</v>
      </c>
      <c r="D77" s="959"/>
      <c r="E77" s="53">
        <f t="shared" si="8"/>
        <v>1</v>
      </c>
      <c r="F77" s="959"/>
      <c r="G77" s="53">
        <f t="shared" si="9"/>
        <v>1</v>
      </c>
      <c r="H77" s="959"/>
      <c r="I77" s="53">
        <f t="shared" si="10"/>
        <v>1</v>
      </c>
      <c r="J77" s="959"/>
      <c r="K77" s="53">
        <f t="shared" si="11"/>
        <v>1</v>
      </c>
      <c r="L77" s="959"/>
      <c r="M77" s="53">
        <f t="shared" si="12"/>
        <v>1</v>
      </c>
      <c r="N77" s="959"/>
      <c r="O77" s="53">
        <f t="shared" si="13"/>
        <v>1</v>
      </c>
      <c r="P77" s="959"/>
      <c r="Q77" s="53">
        <f t="shared" si="14"/>
        <v>1</v>
      </c>
      <c r="R77" s="487">
        <f t="shared" si="15"/>
        <v>0</v>
      </c>
      <c r="S77" s="796">
        <f t="shared" si="16"/>
        <v>0</v>
      </c>
    </row>
    <row r="78" spans="1:19">
      <c r="A78" s="961"/>
      <c r="B78" s="137"/>
      <c r="C78" s="53">
        <f t="shared" si="7"/>
        <v>1</v>
      </c>
      <c r="D78" s="959"/>
      <c r="E78" s="53">
        <f t="shared" si="8"/>
        <v>1</v>
      </c>
      <c r="F78" s="959"/>
      <c r="G78" s="53">
        <f t="shared" si="9"/>
        <v>1</v>
      </c>
      <c r="H78" s="959"/>
      <c r="I78" s="53">
        <f t="shared" si="10"/>
        <v>1</v>
      </c>
      <c r="J78" s="959"/>
      <c r="K78" s="53">
        <f t="shared" si="11"/>
        <v>1</v>
      </c>
      <c r="L78" s="959"/>
      <c r="M78" s="53">
        <f t="shared" si="12"/>
        <v>1</v>
      </c>
      <c r="N78" s="959"/>
      <c r="O78" s="53">
        <f t="shared" si="13"/>
        <v>1</v>
      </c>
      <c r="P78" s="959"/>
      <c r="Q78" s="53">
        <f t="shared" si="14"/>
        <v>1</v>
      </c>
      <c r="R78" s="487">
        <f t="shared" si="15"/>
        <v>0</v>
      </c>
      <c r="S78" s="796">
        <f t="shared" ref="S78:S122" si="17">ROUND(R78*B78/10000,0)</f>
        <v>0</v>
      </c>
    </row>
    <row r="79" spans="1:19">
      <c r="A79" s="961"/>
      <c r="B79" s="137"/>
      <c r="C79" s="53">
        <f t="shared" si="7"/>
        <v>1</v>
      </c>
      <c r="D79" s="959"/>
      <c r="E79" s="53">
        <f t="shared" si="8"/>
        <v>1</v>
      </c>
      <c r="F79" s="959"/>
      <c r="G79" s="53">
        <f t="shared" si="9"/>
        <v>1</v>
      </c>
      <c r="H79" s="959"/>
      <c r="I79" s="53">
        <f t="shared" si="10"/>
        <v>1</v>
      </c>
      <c r="J79" s="959"/>
      <c r="K79" s="53">
        <f t="shared" si="11"/>
        <v>1</v>
      </c>
      <c r="L79" s="959"/>
      <c r="M79" s="53">
        <f t="shared" si="12"/>
        <v>1</v>
      </c>
      <c r="N79" s="959"/>
      <c r="O79" s="53">
        <f t="shared" si="13"/>
        <v>1</v>
      </c>
      <c r="P79" s="959"/>
      <c r="Q79" s="53">
        <f t="shared" si="14"/>
        <v>1</v>
      </c>
      <c r="R79" s="487">
        <f t="shared" si="15"/>
        <v>0</v>
      </c>
      <c r="S79" s="796">
        <f t="shared" si="17"/>
        <v>0</v>
      </c>
    </row>
    <row r="80" spans="1:19">
      <c r="A80" s="961"/>
      <c r="B80" s="137"/>
      <c r="C80" s="53">
        <f t="shared" si="7"/>
        <v>1</v>
      </c>
      <c r="D80" s="959"/>
      <c r="E80" s="53">
        <f t="shared" si="8"/>
        <v>1</v>
      </c>
      <c r="F80" s="959"/>
      <c r="G80" s="53">
        <f t="shared" si="9"/>
        <v>1</v>
      </c>
      <c r="H80" s="959"/>
      <c r="I80" s="53">
        <f t="shared" si="10"/>
        <v>1</v>
      </c>
      <c r="J80" s="959"/>
      <c r="K80" s="53">
        <f t="shared" si="11"/>
        <v>1</v>
      </c>
      <c r="L80" s="959"/>
      <c r="M80" s="53">
        <f t="shared" si="12"/>
        <v>1</v>
      </c>
      <c r="N80" s="959"/>
      <c r="O80" s="53">
        <f t="shared" si="13"/>
        <v>1</v>
      </c>
      <c r="P80" s="959"/>
      <c r="Q80" s="53">
        <f t="shared" si="14"/>
        <v>1</v>
      </c>
      <c r="R80" s="487">
        <f t="shared" si="15"/>
        <v>0</v>
      </c>
      <c r="S80" s="796">
        <f t="shared" si="17"/>
        <v>0</v>
      </c>
    </row>
    <row r="81" spans="1:19">
      <c r="A81" s="961"/>
      <c r="B81" s="137"/>
      <c r="C81" s="53">
        <f t="shared" si="7"/>
        <v>1</v>
      </c>
      <c r="D81" s="959"/>
      <c r="E81" s="53">
        <f t="shared" si="8"/>
        <v>1</v>
      </c>
      <c r="F81" s="959"/>
      <c r="G81" s="53">
        <f t="shared" si="9"/>
        <v>1</v>
      </c>
      <c r="H81" s="959"/>
      <c r="I81" s="53">
        <f t="shared" si="10"/>
        <v>1</v>
      </c>
      <c r="J81" s="959"/>
      <c r="K81" s="53">
        <f t="shared" si="11"/>
        <v>1</v>
      </c>
      <c r="L81" s="959"/>
      <c r="M81" s="53">
        <f t="shared" si="12"/>
        <v>1</v>
      </c>
      <c r="N81" s="959"/>
      <c r="O81" s="53">
        <f t="shared" si="13"/>
        <v>1</v>
      </c>
      <c r="P81" s="959"/>
      <c r="Q81" s="53">
        <f t="shared" si="14"/>
        <v>1</v>
      </c>
      <c r="R81" s="487">
        <f t="shared" si="15"/>
        <v>0</v>
      </c>
      <c r="S81" s="796">
        <f t="shared" si="17"/>
        <v>0</v>
      </c>
    </row>
    <row r="82" spans="1:19">
      <c r="A82" s="961"/>
      <c r="B82" s="137"/>
      <c r="C82" s="53">
        <f t="shared" si="7"/>
        <v>1</v>
      </c>
      <c r="D82" s="959"/>
      <c r="E82" s="53">
        <f t="shared" si="8"/>
        <v>1</v>
      </c>
      <c r="F82" s="959"/>
      <c r="G82" s="53">
        <f t="shared" si="9"/>
        <v>1</v>
      </c>
      <c r="H82" s="959"/>
      <c r="I82" s="53">
        <f t="shared" si="10"/>
        <v>1</v>
      </c>
      <c r="J82" s="959"/>
      <c r="K82" s="53">
        <f t="shared" si="11"/>
        <v>1</v>
      </c>
      <c r="L82" s="959"/>
      <c r="M82" s="53">
        <f t="shared" si="12"/>
        <v>1</v>
      </c>
      <c r="N82" s="959"/>
      <c r="O82" s="53">
        <f t="shared" si="13"/>
        <v>1</v>
      </c>
      <c r="P82" s="959"/>
      <c r="Q82" s="53">
        <f t="shared" si="14"/>
        <v>1</v>
      </c>
      <c r="R82" s="487">
        <f t="shared" si="15"/>
        <v>0</v>
      </c>
      <c r="S82" s="796">
        <f t="shared" si="17"/>
        <v>0</v>
      </c>
    </row>
    <row r="83" spans="1:19">
      <c r="A83" s="961"/>
      <c r="B83" s="137"/>
      <c r="C83" s="53">
        <f t="shared" si="7"/>
        <v>1</v>
      </c>
      <c r="D83" s="959"/>
      <c r="E83" s="53">
        <f t="shared" si="8"/>
        <v>1</v>
      </c>
      <c r="F83" s="959"/>
      <c r="G83" s="53">
        <f t="shared" si="9"/>
        <v>1</v>
      </c>
      <c r="H83" s="959"/>
      <c r="I83" s="53">
        <f t="shared" si="10"/>
        <v>1</v>
      </c>
      <c r="J83" s="959"/>
      <c r="K83" s="53">
        <f t="shared" si="11"/>
        <v>1</v>
      </c>
      <c r="L83" s="959"/>
      <c r="M83" s="53">
        <f t="shared" si="12"/>
        <v>1</v>
      </c>
      <c r="N83" s="959"/>
      <c r="O83" s="53">
        <f t="shared" si="13"/>
        <v>1</v>
      </c>
      <c r="P83" s="959"/>
      <c r="Q83" s="53">
        <f t="shared" si="14"/>
        <v>1</v>
      </c>
      <c r="R83" s="487">
        <f t="shared" si="15"/>
        <v>0</v>
      </c>
      <c r="S83" s="796">
        <f t="shared" si="17"/>
        <v>0</v>
      </c>
    </row>
    <row r="84" spans="1:19">
      <c r="A84" s="961"/>
      <c r="B84" s="137"/>
      <c r="C84" s="53">
        <f t="shared" si="7"/>
        <v>1</v>
      </c>
      <c r="D84" s="959"/>
      <c r="E84" s="53">
        <f t="shared" si="8"/>
        <v>1</v>
      </c>
      <c r="F84" s="959"/>
      <c r="G84" s="53">
        <f t="shared" si="9"/>
        <v>1</v>
      </c>
      <c r="H84" s="959"/>
      <c r="I84" s="53">
        <f t="shared" si="10"/>
        <v>1</v>
      </c>
      <c r="J84" s="959"/>
      <c r="K84" s="53">
        <f t="shared" si="11"/>
        <v>1</v>
      </c>
      <c r="L84" s="959"/>
      <c r="M84" s="53">
        <f t="shared" si="12"/>
        <v>1</v>
      </c>
      <c r="N84" s="959"/>
      <c r="O84" s="53">
        <f t="shared" si="13"/>
        <v>1</v>
      </c>
      <c r="P84" s="959"/>
      <c r="Q84" s="53">
        <f t="shared" si="14"/>
        <v>1</v>
      </c>
      <c r="R84" s="487">
        <f t="shared" si="15"/>
        <v>0</v>
      </c>
      <c r="S84" s="796">
        <f t="shared" si="17"/>
        <v>0</v>
      </c>
    </row>
    <row r="85" spans="1:19">
      <c r="A85" s="961"/>
      <c r="B85" s="137"/>
      <c r="C85" s="53">
        <f t="shared" si="7"/>
        <v>1</v>
      </c>
      <c r="D85" s="959"/>
      <c r="E85" s="53">
        <f t="shared" si="8"/>
        <v>1</v>
      </c>
      <c r="F85" s="959"/>
      <c r="G85" s="53">
        <f t="shared" si="9"/>
        <v>1</v>
      </c>
      <c r="H85" s="959"/>
      <c r="I85" s="53">
        <f t="shared" si="10"/>
        <v>1</v>
      </c>
      <c r="J85" s="959"/>
      <c r="K85" s="53">
        <f t="shared" si="11"/>
        <v>1</v>
      </c>
      <c r="L85" s="959"/>
      <c r="M85" s="53">
        <f t="shared" si="12"/>
        <v>1</v>
      </c>
      <c r="N85" s="959"/>
      <c r="O85" s="53">
        <f t="shared" si="13"/>
        <v>1</v>
      </c>
      <c r="P85" s="959"/>
      <c r="Q85" s="53">
        <f t="shared" si="14"/>
        <v>1</v>
      </c>
      <c r="R85" s="487">
        <f t="shared" si="15"/>
        <v>0</v>
      </c>
      <c r="S85" s="796">
        <f t="shared" si="17"/>
        <v>0</v>
      </c>
    </row>
    <row r="86" spans="1:19">
      <c r="A86" s="961"/>
      <c r="B86" s="137"/>
      <c r="C86" s="53">
        <f t="shared" si="7"/>
        <v>1</v>
      </c>
      <c r="D86" s="959"/>
      <c r="E86" s="53">
        <f t="shared" si="8"/>
        <v>1</v>
      </c>
      <c r="F86" s="959"/>
      <c r="G86" s="53">
        <f t="shared" si="9"/>
        <v>1</v>
      </c>
      <c r="H86" s="959"/>
      <c r="I86" s="53">
        <f t="shared" si="10"/>
        <v>1</v>
      </c>
      <c r="J86" s="959"/>
      <c r="K86" s="53">
        <f t="shared" si="11"/>
        <v>1</v>
      </c>
      <c r="L86" s="959"/>
      <c r="M86" s="53">
        <f t="shared" si="12"/>
        <v>1</v>
      </c>
      <c r="N86" s="959"/>
      <c r="O86" s="53">
        <f t="shared" si="13"/>
        <v>1</v>
      </c>
      <c r="P86" s="959"/>
      <c r="Q86" s="53">
        <f t="shared" si="14"/>
        <v>1</v>
      </c>
      <c r="R86" s="487">
        <f t="shared" si="15"/>
        <v>0</v>
      </c>
      <c r="S86" s="796">
        <f t="shared" si="17"/>
        <v>0</v>
      </c>
    </row>
    <row r="87" spans="1:19">
      <c r="A87" s="961"/>
      <c r="B87" s="137"/>
      <c r="C87" s="53">
        <f t="shared" si="7"/>
        <v>1</v>
      </c>
      <c r="D87" s="959"/>
      <c r="E87" s="53">
        <f t="shared" si="8"/>
        <v>1</v>
      </c>
      <c r="F87" s="959"/>
      <c r="G87" s="53">
        <f t="shared" si="9"/>
        <v>1</v>
      </c>
      <c r="H87" s="959"/>
      <c r="I87" s="53">
        <f t="shared" si="10"/>
        <v>1</v>
      </c>
      <c r="J87" s="959"/>
      <c r="K87" s="53">
        <f t="shared" si="11"/>
        <v>1</v>
      </c>
      <c r="L87" s="959"/>
      <c r="M87" s="53">
        <f t="shared" si="12"/>
        <v>1</v>
      </c>
      <c r="N87" s="959"/>
      <c r="O87" s="53">
        <f t="shared" si="13"/>
        <v>1</v>
      </c>
      <c r="P87" s="959"/>
      <c r="Q87" s="53">
        <f t="shared" si="14"/>
        <v>1</v>
      </c>
      <c r="R87" s="487">
        <f t="shared" si="15"/>
        <v>0</v>
      </c>
      <c r="S87" s="796">
        <f t="shared" si="17"/>
        <v>0</v>
      </c>
    </row>
    <row r="88" spans="1:19">
      <c r="A88" s="961"/>
      <c r="B88" s="137"/>
      <c r="C88" s="53">
        <f t="shared" si="7"/>
        <v>1</v>
      </c>
      <c r="D88" s="959"/>
      <c r="E88" s="53">
        <f t="shared" si="8"/>
        <v>1</v>
      </c>
      <c r="F88" s="959"/>
      <c r="G88" s="53">
        <f t="shared" si="9"/>
        <v>1</v>
      </c>
      <c r="H88" s="959"/>
      <c r="I88" s="53">
        <f t="shared" si="10"/>
        <v>1</v>
      </c>
      <c r="J88" s="959"/>
      <c r="K88" s="53">
        <f t="shared" si="11"/>
        <v>1</v>
      </c>
      <c r="L88" s="959"/>
      <c r="M88" s="53">
        <f t="shared" si="12"/>
        <v>1</v>
      </c>
      <c r="N88" s="959"/>
      <c r="O88" s="53">
        <f t="shared" si="13"/>
        <v>1</v>
      </c>
      <c r="P88" s="959"/>
      <c r="Q88" s="53">
        <f t="shared" si="14"/>
        <v>1</v>
      </c>
      <c r="R88" s="487">
        <f t="shared" si="15"/>
        <v>0</v>
      </c>
      <c r="S88" s="796">
        <f t="shared" si="17"/>
        <v>0</v>
      </c>
    </row>
    <row r="89" spans="1:19">
      <c r="A89" s="961"/>
      <c r="B89" s="137"/>
      <c r="C89" s="53">
        <f t="shared" si="7"/>
        <v>1</v>
      </c>
      <c r="D89" s="959"/>
      <c r="E89" s="53">
        <f t="shared" si="8"/>
        <v>1</v>
      </c>
      <c r="F89" s="959"/>
      <c r="G89" s="53">
        <f t="shared" si="9"/>
        <v>1</v>
      </c>
      <c r="H89" s="959"/>
      <c r="I89" s="53">
        <f t="shared" si="10"/>
        <v>1</v>
      </c>
      <c r="J89" s="959"/>
      <c r="K89" s="53">
        <f t="shared" si="11"/>
        <v>1</v>
      </c>
      <c r="L89" s="959"/>
      <c r="M89" s="53">
        <f t="shared" si="12"/>
        <v>1</v>
      </c>
      <c r="N89" s="959"/>
      <c r="O89" s="53">
        <f t="shared" si="13"/>
        <v>1</v>
      </c>
      <c r="P89" s="959"/>
      <c r="Q89" s="53">
        <f t="shared" si="14"/>
        <v>1</v>
      </c>
      <c r="R89" s="487">
        <f t="shared" si="15"/>
        <v>0</v>
      </c>
      <c r="S89" s="796">
        <f t="shared" si="17"/>
        <v>0</v>
      </c>
    </row>
    <row r="90" spans="1:19">
      <c r="A90" s="961"/>
      <c r="B90" s="137"/>
      <c r="C90" s="53">
        <f t="shared" ref="C90:C153" si="18">IF(B90="",1,(LOOKUP(B90,$3:$3,$4:$4)-LOOKUP($B$24,$3:$3,$4:$4)+100)/100)</f>
        <v>1</v>
      </c>
      <c r="D90" s="959"/>
      <c r="E90" s="53">
        <f t="shared" ref="E90:E153" si="19">(SUMIF($5:$5,D90,$6:$6)-SUMIF($5:$5,$D$24,$6:$6)+100)/100</f>
        <v>1</v>
      </c>
      <c r="F90" s="959"/>
      <c r="G90" s="53">
        <f t="shared" ref="G90:G153" si="20">(SUMIF($7:$7,F90,$8:$8)-SUMIF($7:$7,$F$24,$8:$8)+100)/100</f>
        <v>1</v>
      </c>
      <c r="H90" s="959"/>
      <c r="I90" s="53">
        <f t="shared" ref="I90:I153" si="21">(SUMIF($9:$9,H90,$10:$10)-SUMIF($9:$9,$H$24,$10:$10)+100)/100</f>
        <v>1</v>
      </c>
      <c r="J90" s="959"/>
      <c r="K90" s="53">
        <f t="shared" ref="K90:K153" si="22">(SUMIF($11:$11,J90,$12:$12)-SUMIF($11:$11,$J$24,$12:$12)+100)/100</f>
        <v>1</v>
      </c>
      <c r="L90" s="959"/>
      <c r="M90" s="53">
        <f t="shared" ref="M90:M153" si="23">(SUMIF($13:$13,L90,$14:$14)-SUMIF($13:$13,$L$24,$14:$14)+100)/100</f>
        <v>1</v>
      </c>
      <c r="N90" s="959"/>
      <c r="O90" s="53">
        <f t="shared" ref="O90:O153" si="24">(SUMIF($15:$15,N90,$16:$16)-SUMIF($15:$15,$N$24,$16:$16)+100)/100</f>
        <v>1</v>
      </c>
      <c r="P90" s="959"/>
      <c r="Q90" s="53">
        <f t="shared" ref="Q90:Q153" si="25">(SUMIF($17:$17,P90,$18:$18)-SUMIF($17:$17,$P$24,$18:$18)+100)/100</f>
        <v>1</v>
      </c>
      <c r="R90" s="487">
        <f t="shared" ref="R90:R153" si="26">IF(B90="",0,ROUND($R$24*C90*E90*G90*I90*K90*M90*O90*Q90,0))</f>
        <v>0</v>
      </c>
      <c r="S90" s="796">
        <f t="shared" si="17"/>
        <v>0</v>
      </c>
    </row>
    <row r="91" spans="1:19">
      <c r="A91" s="961"/>
      <c r="B91" s="137"/>
      <c r="C91" s="53">
        <f t="shared" si="18"/>
        <v>1</v>
      </c>
      <c r="D91" s="959"/>
      <c r="E91" s="53">
        <f t="shared" si="19"/>
        <v>1</v>
      </c>
      <c r="F91" s="959"/>
      <c r="G91" s="53">
        <f t="shared" si="20"/>
        <v>1</v>
      </c>
      <c r="H91" s="959"/>
      <c r="I91" s="53">
        <f t="shared" si="21"/>
        <v>1</v>
      </c>
      <c r="J91" s="959"/>
      <c r="K91" s="53">
        <f t="shared" si="22"/>
        <v>1</v>
      </c>
      <c r="L91" s="959"/>
      <c r="M91" s="53">
        <f t="shared" si="23"/>
        <v>1</v>
      </c>
      <c r="N91" s="959"/>
      <c r="O91" s="53">
        <f t="shared" si="24"/>
        <v>1</v>
      </c>
      <c r="P91" s="959"/>
      <c r="Q91" s="53">
        <f t="shared" si="25"/>
        <v>1</v>
      </c>
      <c r="R91" s="487">
        <f t="shared" si="26"/>
        <v>0</v>
      </c>
      <c r="S91" s="796">
        <f t="shared" si="17"/>
        <v>0</v>
      </c>
    </row>
    <row r="92" spans="1:19">
      <c r="A92" s="961"/>
      <c r="B92" s="137"/>
      <c r="C92" s="53">
        <f t="shared" si="18"/>
        <v>1</v>
      </c>
      <c r="D92" s="959"/>
      <c r="E92" s="53">
        <f t="shared" si="19"/>
        <v>1</v>
      </c>
      <c r="F92" s="959"/>
      <c r="G92" s="53">
        <f t="shared" si="20"/>
        <v>1</v>
      </c>
      <c r="H92" s="959"/>
      <c r="I92" s="53">
        <f t="shared" si="21"/>
        <v>1</v>
      </c>
      <c r="J92" s="959"/>
      <c r="K92" s="53">
        <f t="shared" si="22"/>
        <v>1</v>
      </c>
      <c r="L92" s="959"/>
      <c r="M92" s="53">
        <f t="shared" si="23"/>
        <v>1</v>
      </c>
      <c r="N92" s="959"/>
      <c r="O92" s="53">
        <f t="shared" si="24"/>
        <v>1</v>
      </c>
      <c r="P92" s="959"/>
      <c r="Q92" s="53">
        <f t="shared" si="25"/>
        <v>1</v>
      </c>
      <c r="R92" s="487">
        <f t="shared" si="26"/>
        <v>0</v>
      </c>
      <c r="S92" s="796">
        <f t="shared" si="17"/>
        <v>0</v>
      </c>
    </row>
    <row r="93" spans="1:19">
      <c r="A93" s="961"/>
      <c r="B93" s="137"/>
      <c r="C93" s="53">
        <f t="shared" si="18"/>
        <v>1</v>
      </c>
      <c r="D93" s="959"/>
      <c r="E93" s="53">
        <f t="shared" si="19"/>
        <v>1</v>
      </c>
      <c r="F93" s="959"/>
      <c r="G93" s="53">
        <f t="shared" si="20"/>
        <v>1</v>
      </c>
      <c r="H93" s="959"/>
      <c r="I93" s="53">
        <f t="shared" si="21"/>
        <v>1</v>
      </c>
      <c r="J93" s="959"/>
      <c r="K93" s="53">
        <f t="shared" si="22"/>
        <v>1</v>
      </c>
      <c r="L93" s="959"/>
      <c r="M93" s="53">
        <f t="shared" si="23"/>
        <v>1</v>
      </c>
      <c r="N93" s="959"/>
      <c r="O93" s="53">
        <f t="shared" si="24"/>
        <v>1</v>
      </c>
      <c r="P93" s="959"/>
      <c r="Q93" s="53">
        <f t="shared" si="25"/>
        <v>1</v>
      </c>
      <c r="R93" s="487">
        <f t="shared" si="26"/>
        <v>0</v>
      </c>
      <c r="S93" s="796">
        <f t="shared" si="17"/>
        <v>0</v>
      </c>
    </row>
    <row r="94" spans="1:19">
      <c r="A94" s="961"/>
      <c r="B94" s="137"/>
      <c r="C94" s="53">
        <f t="shared" si="18"/>
        <v>1</v>
      </c>
      <c r="D94" s="959"/>
      <c r="E94" s="53">
        <f t="shared" si="19"/>
        <v>1</v>
      </c>
      <c r="F94" s="959"/>
      <c r="G94" s="53">
        <f t="shared" si="20"/>
        <v>1</v>
      </c>
      <c r="H94" s="959"/>
      <c r="I94" s="53">
        <f t="shared" si="21"/>
        <v>1</v>
      </c>
      <c r="J94" s="959"/>
      <c r="K94" s="53">
        <f t="shared" si="22"/>
        <v>1</v>
      </c>
      <c r="L94" s="959"/>
      <c r="M94" s="53">
        <f t="shared" si="23"/>
        <v>1</v>
      </c>
      <c r="N94" s="959"/>
      <c r="O94" s="53">
        <f t="shared" si="24"/>
        <v>1</v>
      </c>
      <c r="P94" s="959"/>
      <c r="Q94" s="53">
        <f t="shared" si="25"/>
        <v>1</v>
      </c>
      <c r="R94" s="487">
        <f t="shared" si="26"/>
        <v>0</v>
      </c>
      <c r="S94" s="796">
        <f t="shared" si="17"/>
        <v>0</v>
      </c>
    </row>
    <row r="95" spans="1:19">
      <c r="A95" s="961"/>
      <c r="B95" s="137"/>
      <c r="C95" s="53">
        <f t="shared" si="18"/>
        <v>1</v>
      </c>
      <c r="D95" s="959"/>
      <c r="E95" s="53">
        <f t="shared" si="19"/>
        <v>1</v>
      </c>
      <c r="F95" s="959"/>
      <c r="G95" s="53">
        <f t="shared" si="20"/>
        <v>1</v>
      </c>
      <c r="H95" s="959"/>
      <c r="I95" s="53">
        <f t="shared" si="21"/>
        <v>1</v>
      </c>
      <c r="J95" s="959"/>
      <c r="K95" s="53">
        <f t="shared" si="22"/>
        <v>1</v>
      </c>
      <c r="L95" s="959"/>
      <c r="M95" s="53">
        <f t="shared" si="23"/>
        <v>1</v>
      </c>
      <c r="N95" s="959"/>
      <c r="O95" s="53">
        <f t="shared" si="24"/>
        <v>1</v>
      </c>
      <c r="P95" s="959"/>
      <c r="Q95" s="53">
        <f t="shared" si="25"/>
        <v>1</v>
      </c>
      <c r="R95" s="487">
        <f t="shared" si="26"/>
        <v>0</v>
      </c>
      <c r="S95" s="796">
        <f t="shared" si="17"/>
        <v>0</v>
      </c>
    </row>
    <row r="96" spans="1:19">
      <c r="A96" s="961"/>
      <c r="B96" s="137"/>
      <c r="C96" s="53">
        <f t="shared" si="18"/>
        <v>1</v>
      </c>
      <c r="D96" s="959"/>
      <c r="E96" s="53">
        <f t="shared" si="19"/>
        <v>1</v>
      </c>
      <c r="F96" s="959"/>
      <c r="G96" s="53">
        <f t="shared" si="20"/>
        <v>1</v>
      </c>
      <c r="H96" s="959"/>
      <c r="I96" s="53">
        <f t="shared" si="21"/>
        <v>1</v>
      </c>
      <c r="J96" s="959"/>
      <c r="K96" s="53">
        <f t="shared" si="22"/>
        <v>1</v>
      </c>
      <c r="L96" s="959"/>
      <c r="M96" s="53">
        <f t="shared" si="23"/>
        <v>1</v>
      </c>
      <c r="N96" s="959"/>
      <c r="O96" s="53">
        <f t="shared" si="24"/>
        <v>1</v>
      </c>
      <c r="P96" s="959"/>
      <c r="Q96" s="53">
        <f t="shared" si="25"/>
        <v>1</v>
      </c>
      <c r="R96" s="487">
        <f t="shared" si="26"/>
        <v>0</v>
      </c>
      <c r="S96" s="796">
        <f t="shared" si="17"/>
        <v>0</v>
      </c>
    </row>
    <row r="97" spans="1:19">
      <c r="A97" s="961"/>
      <c r="B97" s="137"/>
      <c r="C97" s="53">
        <f t="shared" si="18"/>
        <v>1</v>
      </c>
      <c r="D97" s="959"/>
      <c r="E97" s="53">
        <f t="shared" si="19"/>
        <v>1</v>
      </c>
      <c r="F97" s="959"/>
      <c r="G97" s="53">
        <f t="shared" si="20"/>
        <v>1</v>
      </c>
      <c r="H97" s="959"/>
      <c r="I97" s="53">
        <f t="shared" si="21"/>
        <v>1</v>
      </c>
      <c r="J97" s="959"/>
      <c r="K97" s="53">
        <f t="shared" si="22"/>
        <v>1</v>
      </c>
      <c r="L97" s="959"/>
      <c r="M97" s="53">
        <f t="shared" si="23"/>
        <v>1</v>
      </c>
      <c r="N97" s="959"/>
      <c r="O97" s="53">
        <f t="shared" si="24"/>
        <v>1</v>
      </c>
      <c r="P97" s="959"/>
      <c r="Q97" s="53">
        <f t="shared" si="25"/>
        <v>1</v>
      </c>
      <c r="R97" s="487">
        <f t="shared" si="26"/>
        <v>0</v>
      </c>
      <c r="S97" s="796">
        <f t="shared" si="17"/>
        <v>0</v>
      </c>
    </row>
    <row r="98" spans="1:19">
      <c r="A98" s="961"/>
      <c r="B98" s="137"/>
      <c r="C98" s="53">
        <f t="shared" si="18"/>
        <v>1</v>
      </c>
      <c r="D98" s="959"/>
      <c r="E98" s="53">
        <f t="shared" si="19"/>
        <v>1</v>
      </c>
      <c r="F98" s="959"/>
      <c r="G98" s="53">
        <f t="shared" si="20"/>
        <v>1</v>
      </c>
      <c r="H98" s="959"/>
      <c r="I98" s="53">
        <f t="shared" si="21"/>
        <v>1</v>
      </c>
      <c r="J98" s="959"/>
      <c r="K98" s="53">
        <f t="shared" si="22"/>
        <v>1</v>
      </c>
      <c r="L98" s="959"/>
      <c r="M98" s="53">
        <f t="shared" si="23"/>
        <v>1</v>
      </c>
      <c r="N98" s="959"/>
      <c r="O98" s="53">
        <f t="shared" si="24"/>
        <v>1</v>
      </c>
      <c r="P98" s="959"/>
      <c r="Q98" s="53">
        <f t="shared" si="25"/>
        <v>1</v>
      </c>
      <c r="R98" s="487">
        <f t="shared" si="26"/>
        <v>0</v>
      </c>
      <c r="S98" s="796">
        <f t="shared" si="17"/>
        <v>0</v>
      </c>
    </row>
    <row r="99" spans="1:19">
      <c r="A99" s="961"/>
      <c r="B99" s="137"/>
      <c r="C99" s="53">
        <f t="shared" si="18"/>
        <v>1</v>
      </c>
      <c r="D99" s="959"/>
      <c r="E99" s="53">
        <f t="shared" si="19"/>
        <v>1</v>
      </c>
      <c r="F99" s="959"/>
      <c r="G99" s="53">
        <f t="shared" si="20"/>
        <v>1</v>
      </c>
      <c r="H99" s="959"/>
      <c r="I99" s="53">
        <f t="shared" si="21"/>
        <v>1</v>
      </c>
      <c r="J99" s="959"/>
      <c r="K99" s="53">
        <f t="shared" si="22"/>
        <v>1</v>
      </c>
      <c r="L99" s="959"/>
      <c r="M99" s="53">
        <f t="shared" si="23"/>
        <v>1</v>
      </c>
      <c r="N99" s="959"/>
      <c r="O99" s="53">
        <f t="shared" si="24"/>
        <v>1</v>
      </c>
      <c r="P99" s="959"/>
      <c r="Q99" s="53">
        <f t="shared" si="25"/>
        <v>1</v>
      </c>
      <c r="R99" s="487">
        <f t="shared" si="26"/>
        <v>0</v>
      </c>
      <c r="S99" s="796">
        <f t="shared" si="17"/>
        <v>0</v>
      </c>
    </row>
    <row r="100" spans="1:19">
      <c r="A100" s="961"/>
      <c r="B100" s="137"/>
      <c r="C100" s="53">
        <f t="shared" si="18"/>
        <v>1</v>
      </c>
      <c r="D100" s="959"/>
      <c r="E100" s="53">
        <f t="shared" si="19"/>
        <v>1</v>
      </c>
      <c r="F100" s="959"/>
      <c r="G100" s="53">
        <f t="shared" si="20"/>
        <v>1</v>
      </c>
      <c r="H100" s="959"/>
      <c r="I100" s="53">
        <f t="shared" si="21"/>
        <v>1</v>
      </c>
      <c r="J100" s="959"/>
      <c r="K100" s="53">
        <f t="shared" si="22"/>
        <v>1</v>
      </c>
      <c r="L100" s="959"/>
      <c r="M100" s="53">
        <f t="shared" si="23"/>
        <v>1</v>
      </c>
      <c r="N100" s="959"/>
      <c r="O100" s="53">
        <f t="shared" si="24"/>
        <v>1</v>
      </c>
      <c r="P100" s="959"/>
      <c r="Q100" s="53">
        <f t="shared" si="25"/>
        <v>1</v>
      </c>
      <c r="R100" s="487">
        <f t="shared" si="26"/>
        <v>0</v>
      </c>
      <c r="S100" s="796">
        <f t="shared" si="17"/>
        <v>0</v>
      </c>
    </row>
    <row r="101" spans="1:19">
      <c r="A101" s="961"/>
      <c r="B101" s="137"/>
      <c r="C101" s="53">
        <f t="shared" si="18"/>
        <v>1</v>
      </c>
      <c r="D101" s="959"/>
      <c r="E101" s="53">
        <f t="shared" si="19"/>
        <v>1</v>
      </c>
      <c r="F101" s="959"/>
      <c r="G101" s="53">
        <f t="shared" si="20"/>
        <v>1</v>
      </c>
      <c r="H101" s="959"/>
      <c r="I101" s="53">
        <f t="shared" si="21"/>
        <v>1</v>
      </c>
      <c r="J101" s="959"/>
      <c r="K101" s="53">
        <f t="shared" si="22"/>
        <v>1</v>
      </c>
      <c r="L101" s="959"/>
      <c r="M101" s="53">
        <f t="shared" si="23"/>
        <v>1</v>
      </c>
      <c r="N101" s="959"/>
      <c r="O101" s="53">
        <f t="shared" si="24"/>
        <v>1</v>
      </c>
      <c r="P101" s="959"/>
      <c r="Q101" s="53">
        <f t="shared" si="25"/>
        <v>1</v>
      </c>
      <c r="R101" s="487">
        <f t="shared" si="26"/>
        <v>0</v>
      </c>
      <c r="S101" s="796">
        <f t="shared" si="17"/>
        <v>0</v>
      </c>
    </row>
    <row r="102" spans="1:19">
      <c r="A102" s="961"/>
      <c r="B102" s="137"/>
      <c r="C102" s="53">
        <f t="shared" si="18"/>
        <v>1</v>
      </c>
      <c r="D102" s="959"/>
      <c r="E102" s="53">
        <f t="shared" si="19"/>
        <v>1</v>
      </c>
      <c r="F102" s="959"/>
      <c r="G102" s="53">
        <f t="shared" si="20"/>
        <v>1</v>
      </c>
      <c r="H102" s="959"/>
      <c r="I102" s="53">
        <f t="shared" si="21"/>
        <v>1</v>
      </c>
      <c r="J102" s="959"/>
      <c r="K102" s="53">
        <f t="shared" si="22"/>
        <v>1</v>
      </c>
      <c r="L102" s="959"/>
      <c r="M102" s="53">
        <f t="shared" si="23"/>
        <v>1</v>
      </c>
      <c r="N102" s="959"/>
      <c r="O102" s="53">
        <f t="shared" si="24"/>
        <v>1</v>
      </c>
      <c r="P102" s="959"/>
      <c r="Q102" s="53">
        <f t="shared" si="25"/>
        <v>1</v>
      </c>
      <c r="R102" s="487">
        <f t="shared" si="26"/>
        <v>0</v>
      </c>
      <c r="S102" s="796">
        <f t="shared" si="17"/>
        <v>0</v>
      </c>
    </row>
    <row r="103" spans="1:19">
      <c r="A103" s="961"/>
      <c r="B103" s="137"/>
      <c r="C103" s="53">
        <f t="shared" si="18"/>
        <v>1</v>
      </c>
      <c r="D103" s="959"/>
      <c r="E103" s="53">
        <f t="shared" si="19"/>
        <v>1</v>
      </c>
      <c r="F103" s="959"/>
      <c r="G103" s="53">
        <f t="shared" si="20"/>
        <v>1</v>
      </c>
      <c r="H103" s="959"/>
      <c r="I103" s="53">
        <f t="shared" si="21"/>
        <v>1</v>
      </c>
      <c r="J103" s="959"/>
      <c r="K103" s="53">
        <f t="shared" si="22"/>
        <v>1</v>
      </c>
      <c r="L103" s="959"/>
      <c r="M103" s="53">
        <f t="shared" si="23"/>
        <v>1</v>
      </c>
      <c r="N103" s="959"/>
      <c r="O103" s="53">
        <f t="shared" si="24"/>
        <v>1</v>
      </c>
      <c r="P103" s="959"/>
      <c r="Q103" s="53">
        <f t="shared" si="25"/>
        <v>1</v>
      </c>
      <c r="R103" s="487">
        <f t="shared" si="26"/>
        <v>0</v>
      </c>
      <c r="S103" s="796">
        <f t="shared" si="17"/>
        <v>0</v>
      </c>
    </row>
    <row r="104" spans="1:19">
      <c r="A104" s="961"/>
      <c r="B104" s="137"/>
      <c r="C104" s="53">
        <f t="shared" si="18"/>
        <v>1</v>
      </c>
      <c r="D104" s="959"/>
      <c r="E104" s="53">
        <f t="shared" si="19"/>
        <v>1</v>
      </c>
      <c r="F104" s="959"/>
      <c r="G104" s="53">
        <f t="shared" si="20"/>
        <v>1</v>
      </c>
      <c r="H104" s="959"/>
      <c r="I104" s="53">
        <f t="shared" si="21"/>
        <v>1</v>
      </c>
      <c r="J104" s="959"/>
      <c r="K104" s="53">
        <f t="shared" si="22"/>
        <v>1</v>
      </c>
      <c r="L104" s="959"/>
      <c r="M104" s="53">
        <f t="shared" si="23"/>
        <v>1</v>
      </c>
      <c r="N104" s="959"/>
      <c r="O104" s="53">
        <f t="shared" si="24"/>
        <v>1</v>
      </c>
      <c r="P104" s="959"/>
      <c r="Q104" s="53">
        <f t="shared" si="25"/>
        <v>1</v>
      </c>
      <c r="R104" s="487">
        <f t="shared" si="26"/>
        <v>0</v>
      </c>
      <c r="S104" s="796">
        <f t="shared" si="17"/>
        <v>0</v>
      </c>
    </row>
    <row r="105" spans="1:19">
      <c r="A105" s="961"/>
      <c r="B105" s="137"/>
      <c r="C105" s="53">
        <f t="shared" si="18"/>
        <v>1</v>
      </c>
      <c r="D105" s="959"/>
      <c r="E105" s="53">
        <f t="shared" si="19"/>
        <v>1</v>
      </c>
      <c r="F105" s="959"/>
      <c r="G105" s="53">
        <f t="shared" si="20"/>
        <v>1</v>
      </c>
      <c r="H105" s="959"/>
      <c r="I105" s="53">
        <f t="shared" si="21"/>
        <v>1</v>
      </c>
      <c r="J105" s="959"/>
      <c r="K105" s="53">
        <f t="shared" si="22"/>
        <v>1</v>
      </c>
      <c r="L105" s="959"/>
      <c r="M105" s="53">
        <f t="shared" si="23"/>
        <v>1</v>
      </c>
      <c r="N105" s="959"/>
      <c r="O105" s="53">
        <f t="shared" si="24"/>
        <v>1</v>
      </c>
      <c r="P105" s="959"/>
      <c r="Q105" s="53">
        <f t="shared" si="25"/>
        <v>1</v>
      </c>
      <c r="R105" s="487">
        <f t="shared" si="26"/>
        <v>0</v>
      </c>
      <c r="S105" s="796">
        <f t="shared" si="17"/>
        <v>0</v>
      </c>
    </row>
    <row r="106" spans="1:19">
      <c r="A106" s="961"/>
      <c r="B106" s="137"/>
      <c r="C106" s="53">
        <f t="shared" si="18"/>
        <v>1</v>
      </c>
      <c r="D106" s="959"/>
      <c r="E106" s="53">
        <f t="shared" si="19"/>
        <v>1</v>
      </c>
      <c r="F106" s="959"/>
      <c r="G106" s="53">
        <f t="shared" si="20"/>
        <v>1</v>
      </c>
      <c r="H106" s="959"/>
      <c r="I106" s="53">
        <f t="shared" si="21"/>
        <v>1</v>
      </c>
      <c r="J106" s="959"/>
      <c r="K106" s="53">
        <f t="shared" si="22"/>
        <v>1</v>
      </c>
      <c r="L106" s="959"/>
      <c r="M106" s="53">
        <f t="shared" si="23"/>
        <v>1</v>
      </c>
      <c r="N106" s="959"/>
      <c r="O106" s="53">
        <f t="shared" si="24"/>
        <v>1</v>
      </c>
      <c r="P106" s="959"/>
      <c r="Q106" s="53">
        <f t="shared" si="25"/>
        <v>1</v>
      </c>
      <c r="R106" s="487">
        <f t="shared" si="26"/>
        <v>0</v>
      </c>
      <c r="S106" s="796">
        <f t="shared" si="17"/>
        <v>0</v>
      </c>
    </row>
    <row r="107" spans="1:19">
      <c r="A107" s="961"/>
      <c r="B107" s="137"/>
      <c r="C107" s="53">
        <f t="shared" si="18"/>
        <v>1</v>
      </c>
      <c r="D107" s="959"/>
      <c r="E107" s="53">
        <f t="shared" si="19"/>
        <v>1</v>
      </c>
      <c r="F107" s="959"/>
      <c r="G107" s="53">
        <f t="shared" si="20"/>
        <v>1</v>
      </c>
      <c r="H107" s="959"/>
      <c r="I107" s="53">
        <f t="shared" si="21"/>
        <v>1</v>
      </c>
      <c r="J107" s="959"/>
      <c r="K107" s="53">
        <f t="shared" si="22"/>
        <v>1</v>
      </c>
      <c r="L107" s="959"/>
      <c r="M107" s="53">
        <f t="shared" si="23"/>
        <v>1</v>
      </c>
      <c r="N107" s="959"/>
      <c r="O107" s="53">
        <f t="shared" si="24"/>
        <v>1</v>
      </c>
      <c r="P107" s="959"/>
      <c r="Q107" s="53">
        <f t="shared" si="25"/>
        <v>1</v>
      </c>
      <c r="R107" s="487">
        <f t="shared" si="26"/>
        <v>0</v>
      </c>
      <c r="S107" s="796">
        <f t="shared" si="17"/>
        <v>0</v>
      </c>
    </row>
    <row r="108" spans="1:19">
      <c r="A108" s="961"/>
      <c r="B108" s="137"/>
      <c r="C108" s="53">
        <f t="shared" si="18"/>
        <v>1</v>
      </c>
      <c r="D108" s="959"/>
      <c r="E108" s="53">
        <f t="shared" si="19"/>
        <v>1</v>
      </c>
      <c r="F108" s="959"/>
      <c r="G108" s="53">
        <f t="shared" si="20"/>
        <v>1</v>
      </c>
      <c r="H108" s="959"/>
      <c r="I108" s="53">
        <f t="shared" si="21"/>
        <v>1</v>
      </c>
      <c r="J108" s="959"/>
      <c r="K108" s="53">
        <f t="shared" si="22"/>
        <v>1</v>
      </c>
      <c r="L108" s="959"/>
      <c r="M108" s="53">
        <f t="shared" si="23"/>
        <v>1</v>
      </c>
      <c r="N108" s="959"/>
      <c r="O108" s="53">
        <f t="shared" si="24"/>
        <v>1</v>
      </c>
      <c r="P108" s="959"/>
      <c r="Q108" s="53">
        <f t="shared" si="25"/>
        <v>1</v>
      </c>
      <c r="R108" s="487">
        <f t="shared" si="26"/>
        <v>0</v>
      </c>
      <c r="S108" s="796">
        <f t="shared" si="17"/>
        <v>0</v>
      </c>
    </row>
    <row r="109" spans="1:19">
      <c r="A109" s="961"/>
      <c r="B109" s="137"/>
      <c r="C109" s="53">
        <f t="shared" si="18"/>
        <v>1</v>
      </c>
      <c r="D109" s="959"/>
      <c r="E109" s="53">
        <f t="shared" si="19"/>
        <v>1</v>
      </c>
      <c r="F109" s="959"/>
      <c r="G109" s="53">
        <f t="shared" si="20"/>
        <v>1</v>
      </c>
      <c r="H109" s="959"/>
      <c r="I109" s="53">
        <f t="shared" si="21"/>
        <v>1</v>
      </c>
      <c r="J109" s="959"/>
      <c r="K109" s="53">
        <f t="shared" si="22"/>
        <v>1</v>
      </c>
      <c r="L109" s="959"/>
      <c r="M109" s="53">
        <f t="shared" si="23"/>
        <v>1</v>
      </c>
      <c r="N109" s="959"/>
      <c r="O109" s="53">
        <f t="shared" si="24"/>
        <v>1</v>
      </c>
      <c r="P109" s="959"/>
      <c r="Q109" s="53">
        <f t="shared" si="25"/>
        <v>1</v>
      </c>
      <c r="R109" s="487">
        <f t="shared" si="26"/>
        <v>0</v>
      </c>
      <c r="S109" s="796">
        <f t="shared" si="17"/>
        <v>0</v>
      </c>
    </row>
    <row r="110" spans="1:19">
      <c r="A110" s="961"/>
      <c r="B110" s="137"/>
      <c r="C110" s="53">
        <f t="shared" si="18"/>
        <v>1</v>
      </c>
      <c r="D110" s="959"/>
      <c r="E110" s="53">
        <f t="shared" si="19"/>
        <v>1</v>
      </c>
      <c r="F110" s="959"/>
      <c r="G110" s="53">
        <f t="shared" si="20"/>
        <v>1</v>
      </c>
      <c r="H110" s="959"/>
      <c r="I110" s="53">
        <f t="shared" si="21"/>
        <v>1</v>
      </c>
      <c r="J110" s="959"/>
      <c r="K110" s="53">
        <f t="shared" si="22"/>
        <v>1</v>
      </c>
      <c r="L110" s="959"/>
      <c r="M110" s="53">
        <f t="shared" si="23"/>
        <v>1</v>
      </c>
      <c r="N110" s="959"/>
      <c r="O110" s="53">
        <f t="shared" si="24"/>
        <v>1</v>
      </c>
      <c r="P110" s="959"/>
      <c r="Q110" s="53">
        <f t="shared" si="25"/>
        <v>1</v>
      </c>
      <c r="R110" s="487">
        <f t="shared" si="26"/>
        <v>0</v>
      </c>
      <c r="S110" s="796">
        <f t="shared" si="17"/>
        <v>0</v>
      </c>
    </row>
    <row r="111" spans="1:19">
      <c r="A111" s="961"/>
      <c r="B111" s="137"/>
      <c r="C111" s="53">
        <f t="shared" si="18"/>
        <v>1</v>
      </c>
      <c r="D111" s="959"/>
      <c r="E111" s="53">
        <f t="shared" si="19"/>
        <v>1</v>
      </c>
      <c r="F111" s="959"/>
      <c r="G111" s="53">
        <f t="shared" si="20"/>
        <v>1</v>
      </c>
      <c r="H111" s="959"/>
      <c r="I111" s="53">
        <f t="shared" si="21"/>
        <v>1</v>
      </c>
      <c r="J111" s="959"/>
      <c r="K111" s="53">
        <f t="shared" si="22"/>
        <v>1</v>
      </c>
      <c r="L111" s="959"/>
      <c r="M111" s="53">
        <f t="shared" si="23"/>
        <v>1</v>
      </c>
      <c r="N111" s="959"/>
      <c r="O111" s="53">
        <f t="shared" si="24"/>
        <v>1</v>
      </c>
      <c r="P111" s="959"/>
      <c r="Q111" s="53">
        <f t="shared" si="25"/>
        <v>1</v>
      </c>
      <c r="R111" s="487">
        <f t="shared" si="26"/>
        <v>0</v>
      </c>
      <c r="S111" s="796">
        <f t="shared" si="17"/>
        <v>0</v>
      </c>
    </row>
    <row r="112" spans="1:19">
      <c r="A112" s="961"/>
      <c r="B112" s="137"/>
      <c r="C112" s="53">
        <f t="shared" si="18"/>
        <v>1</v>
      </c>
      <c r="D112" s="959"/>
      <c r="E112" s="53">
        <f t="shared" si="19"/>
        <v>1</v>
      </c>
      <c r="F112" s="959"/>
      <c r="G112" s="53">
        <f t="shared" si="20"/>
        <v>1</v>
      </c>
      <c r="H112" s="959"/>
      <c r="I112" s="53">
        <f t="shared" si="21"/>
        <v>1</v>
      </c>
      <c r="J112" s="959"/>
      <c r="K112" s="53">
        <f t="shared" si="22"/>
        <v>1</v>
      </c>
      <c r="L112" s="959"/>
      <c r="M112" s="53">
        <f t="shared" si="23"/>
        <v>1</v>
      </c>
      <c r="N112" s="959"/>
      <c r="O112" s="53">
        <f t="shared" si="24"/>
        <v>1</v>
      </c>
      <c r="P112" s="959"/>
      <c r="Q112" s="53">
        <f t="shared" si="25"/>
        <v>1</v>
      </c>
      <c r="R112" s="487">
        <f t="shared" si="26"/>
        <v>0</v>
      </c>
      <c r="S112" s="796">
        <f t="shared" si="17"/>
        <v>0</v>
      </c>
    </row>
    <row r="113" spans="1:19">
      <c r="A113" s="961"/>
      <c r="B113" s="137"/>
      <c r="C113" s="53">
        <f t="shared" si="18"/>
        <v>1</v>
      </c>
      <c r="D113" s="959"/>
      <c r="E113" s="53">
        <f t="shared" si="19"/>
        <v>1</v>
      </c>
      <c r="F113" s="959"/>
      <c r="G113" s="53">
        <f t="shared" si="20"/>
        <v>1</v>
      </c>
      <c r="H113" s="959"/>
      <c r="I113" s="53">
        <f t="shared" si="21"/>
        <v>1</v>
      </c>
      <c r="J113" s="959"/>
      <c r="K113" s="53">
        <f t="shared" si="22"/>
        <v>1</v>
      </c>
      <c r="L113" s="959"/>
      <c r="M113" s="53">
        <f t="shared" si="23"/>
        <v>1</v>
      </c>
      <c r="N113" s="959"/>
      <c r="O113" s="53">
        <f t="shared" si="24"/>
        <v>1</v>
      </c>
      <c r="P113" s="959"/>
      <c r="Q113" s="53">
        <f t="shared" si="25"/>
        <v>1</v>
      </c>
      <c r="R113" s="487">
        <f t="shared" si="26"/>
        <v>0</v>
      </c>
      <c r="S113" s="796">
        <f t="shared" si="17"/>
        <v>0</v>
      </c>
    </row>
    <row r="114" spans="1:19">
      <c r="A114" s="961"/>
      <c r="B114" s="137"/>
      <c r="C114" s="53">
        <f t="shared" si="18"/>
        <v>1</v>
      </c>
      <c r="D114" s="959"/>
      <c r="E114" s="53">
        <f t="shared" si="19"/>
        <v>1</v>
      </c>
      <c r="F114" s="959"/>
      <c r="G114" s="53">
        <f t="shared" si="20"/>
        <v>1</v>
      </c>
      <c r="H114" s="959"/>
      <c r="I114" s="53">
        <f t="shared" si="21"/>
        <v>1</v>
      </c>
      <c r="J114" s="959"/>
      <c r="K114" s="53">
        <f t="shared" si="22"/>
        <v>1</v>
      </c>
      <c r="L114" s="959"/>
      <c r="M114" s="53">
        <f t="shared" si="23"/>
        <v>1</v>
      </c>
      <c r="N114" s="959"/>
      <c r="O114" s="53">
        <f t="shared" si="24"/>
        <v>1</v>
      </c>
      <c r="P114" s="959"/>
      <c r="Q114" s="53">
        <f t="shared" si="25"/>
        <v>1</v>
      </c>
      <c r="R114" s="487">
        <f t="shared" si="26"/>
        <v>0</v>
      </c>
      <c r="S114" s="796">
        <f t="shared" si="17"/>
        <v>0</v>
      </c>
    </row>
    <row r="115" spans="1:19">
      <c r="A115" s="961"/>
      <c r="B115" s="137"/>
      <c r="C115" s="53">
        <f t="shared" si="18"/>
        <v>1</v>
      </c>
      <c r="D115" s="959"/>
      <c r="E115" s="53">
        <f t="shared" si="19"/>
        <v>1</v>
      </c>
      <c r="F115" s="959"/>
      <c r="G115" s="53">
        <f t="shared" si="20"/>
        <v>1</v>
      </c>
      <c r="H115" s="959"/>
      <c r="I115" s="53">
        <f t="shared" si="21"/>
        <v>1</v>
      </c>
      <c r="J115" s="959"/>
      <c r="K115" s="53">
        <f t="shared" si="22"/>
        <v>1</v>
      </c>
      <c r="L115" s="959"/>
      <c r="M115" s="53">
        <f t="shared" si="23"/>
        <v>1</v>
      </c>
      <c r="N115" s="959"/>
      <c r="O115" s="53">
        <f t="shared" si="24"/>
        <v>1</v>
      </c>
      <c r="P115" s="959"/>
      <c r="Q115" s="53">
        <f t="shared" si="25"/>
        <v>1</v>
      </c>
      <c r="R115" s="487">
        <f t="shared" si="26"/>
        <v>0</v>
      </c>
      <c r="S115" s="796">
        <f t="shared" si="17"/>
        <v>0</v>
      </c>
    </row>
    <row r="116" spans="1:19">
      <c r="A116" s="961"/>
      <c r="B116" s="137"/>
      <c r="C116" s="53">
        <f t="shared" si="18"/>
        <v>1</v>
      </c>
      <c r="D116" s="959"/>
      <c r="E116" s="53">
        <f t="shared" si="19"/>
        <v>1</v>
      </c>
      <c r="F116" s="959"/>
      <c r="G116" s="53">
        <f t="shared" si="20"/>
        <v>1</v>
      </c>
      <c r="H116" s="959"/>
      <c r="I116" s="53">
        <f t="shared" si="21"/>
        <v>1</v>
      </c>
      <c r="J116" s="959"/>
      <c r="K116" s="53">
        <f t="shared" si="22"/>
        <v>1</v>
      </c>
      <c r="L116" s="959"/>
      <c r="M116" s="53">
        <f t="shared" si="23"/>
        <v>1</v>
      </c>
      <c r="N116" s="959"/>
      <c r="O116" s="53">
        <f t="shared" si="24"/>
        <v>1</v>
      </c>
      <c r="P116" s="959"/>
      <c r="Q116" s="53">
        <f t="shared" si="25"/>
        <v>1</v>
      </c>
      <c r="R116" s="487">
        <f t="shared" si="26"/>
        <v>0</v>
      </c>
      <c r="S116" s="796">
        <f t="shared" si="17"/>
        <v>0</v>
      </c>
    </row>
    <row r="117" spans="1:19">
      <c r="A117" s="961"/>
      <c r="B117" s="137"/>
      <c r="C117" s="53">
        <f t="shared" si="18"/>
        <v>1</v>
      </c>
      <c r="D117" s="959"/>
      <c r="E117" s="53">
        <f t="shared" si="19"/>
        <v>1</v>
      </c>
      <c r="F117" s="959"/>
      <c r="G117" s="53">
        <f t="shared" si="20"/>
        <v>1</v>
      </c>
      <c r="H117" s="959"/>
      <c r="I117" s="53">
        <f t="shared" si="21"/>
        <v>1</v>
      </c>
      <c r="J117" s="959"/>
      <c r="K117" s="53">
        <f t="shared" si="22"/>
        <v>1</v>
      </c>
      <c r="L117" s="959"/>
      <c r="M117" s="53">
        <f t="shared" si="23"/>
        <v>1</v>
      </c>
      <c r="N117" s="959"/>
      <c r="O117" s="53">
        <f t="shared" si="24"/>
        <v>1</v>
      </c>
      <c r="P117" s="959"/>
      <c r="Q117" s="53">
        <f t="shared" si="25"/>
        <v>1</v>
      </c>
      <c r="R117" s="487">
        <f t="shared" si="26"/>
        <v>0</v>
      </c>
      <c r="S117" s="796">
        <f t="shared" si="17"/>
        <v>0</v>
      </c>
    </row>
    <row r="118" spans="1:19">
      <c r="A118" s="961"/>
      <c r="B118" s="137"/>
      <c r="C118" s="53">
        <f t="shared" si="18"/>
        <v>1</v>
      </c>
      <c r="D118" s="959"/>
      <c r="E118" s="53">
        <f t="shared" si="19"/>
        <v>1</v>
      </c>
      <c r="F118" s="959"/>
      <c r="G118" s="53">
        <f t="shared" si="20"/>
        <v>1</v>
      </c>
      <c r="H118" s="959"/>
      <c r="I118" s="53">
        <f t="shared" si="21"/>
        <v>1</v>
      </c>
      <c r="J118" s="959"/>
      <c r="K118" s="53">
        <f t="shared" si="22"/>
        <v>1</v>
      </c>
      <c r="L118" s="959"/>
      <c r="M118" s="53">
        <f t="shared" si="23"/>
        <v>1</v>
      </c>
      <c r="N118" s="959"/>
      <c r="O118" s="53">
        <f t="shared" si="24"/>
        <v>1</v>
      </c>
      <c r="P118" s="959"/>
      <c r="Q118" s="53">
        <f t="shared" si="25"/>
        <v>1</v>
      </c>
      <c r="R118" s="487">
        <f t="shared" si="26"/>
        <v>0</v>
      </c>
      <c r="S118" s="796">
        <f t="shared" si="17"/>
        <v>0</v>
      </c>
    </row>
    <row r="119" spans="1:19">
      <c r="A119" s="961"/>
      <c r="B119" s="137"/>
      <c r="C119" s="53">
        <f t="shared" si="18"/>
        <v>1</v>
      </c>
      <c r="D119" s="959"/>
      <c r="E119" s="53">
        <f t="shared" si="19"/>
        <v>1</v>
      </c>
      <c r="F119" s="959"/>
      <c r="G119" s="53">
        <f t="shared" si="20"/>
        <v>1</v>
      </c>
      <c r="H119" s="959"/>
      <c r="I119" s="53">
        <f t="shared" si="21"/>
        <v>1</v>
      </c>
      <c r="J119" s="959"/>
      <c r="K119" s="53">
        <f t="shared" si="22"/>
        <v>1</v>
      </c>
      <c r="L119" s="959"/>
      <c r="M119" s="53">
        <f t="shared" si="23"/>
        <v>1</v>
      </c>
      <c r="N119" s="959"/>
      <c r="O119" s="53">
        <f t="shared" si="24"/>
        <v>1</v>
      </c>
      <c r="P119" s="959"/>
      <c r="Q119" s="53">
        <f t="shared" si="25"/>
        <v>1</v>
      </c>
      <c r="R119" s="487">
        <f t="shared" si="26"/>
        <v>0</v>
      </c>
      <c r="S119" s="796">
        <f t="shared" si="17"/>
        <v>0</v>
      </c>
    </row>
    <row r="120" spans="1:19">
      <c r="A120" s="961"/>
      <c r="B120" s="137"/>
      <c r="C120" s="53">
        <f t="shared" si="18"/>
        <v>1</v>
      </c>
      <c r="D120" s="959"/>
      <c r="E120" s="53">
        <f t="shared" si="19"/>
        <v>1</v>
      </c>
      <c r="F120" s="959"/>
      <c r="G120" s="53">
        <f t="shared" si="20"/>
        <v>1</v>
      </c>
      <c r="H120" s="959"/>
      <c r="I120" s="53">
        <f t="shared" si="21"/>
        <v>1</v>
      </c>
      <c r="J120" s="959"/>
      <c r="K120" s="53">
        <f t="shared" si="22"/>
        <v>1</v>
      </c>
      <c r="L120" s="959"/>
      <c r="M120" s="53">
        <f t="shared" si="23"/>
        <v>1</v>
      </c>
      <c r="N120" s="959"/>
      <c r="O120" s="53">
        <f t="shared" si="24"/>
        <v>1</v>
      </c>
      <c r="P120" s="959"/>
      <c r="Q120" s="53">
        <f t="shared" si="25"/>
        <v>1</v>
      </c>
      <c r="R120" s="487">
        <f t="shared" si="26"/>
        <v>0</v>
      </c>
      <c r="S120" s="796">
        <f t="shared" si="17"/>
        <v>0</v>
      </c>
    </row>
    <row r="121" spans="1:19">
      <c r="A121" s="961"/>
      <c r="B121" s="137"/>
      <c r="C121" s="53">
        <f t="shared" si="18"/>
        <v>1</v>
      </c>
      <c r="D121" s="959"/>
      <c r="E121" s="53">
        <f t="shared" si="19"/>
        <v>1</v>
      </c>
      <c r="F121" s="959"/>
      <c r="G121" s="53">
        <f t="shared" si="20"/>
        <v>1</v>
      </c>
      <c r="H121" s="959"/>
      <c r="I121" s="53">
        <f t="shared" si="21"/>
        <v>1</v>
      </c>
      <c r="J121" s="959"/>
      <c r="K121" s="53">
        <f t="shared" si="22"/>
        <v>1</v>
      </c>
      <c r="L121" s="959"/>
      <c r="M121" s="53">
        <f t="shared" si="23"/>
        <v>1</v>
      </c>
      <c r="N121" s="959"/>
      <c r="O121" s="53">
        <f t="shared" si="24"/>
        <v>1</v>
      </c>
      <c r="P121" s="959"/>
      <c r="Q121" s="53">
        <f t="shared" si="25"/>
        <v>1</v>
      </c>
      <c r="R121" s="487">
        <f t="shared" si="26"/>
        <v>0</v>
      </c>
      <c r="S121" s="796">
        <f t="shared" si="17"/>
        <v>0</v>
      </c>
    </row>
    <row r="122" spans="1:19">
      <c r="A122" s="961"/>
      <c r="B122" s="137"/>
      <c r="C122" s="53">
        <f t="shared" si="18"/>
        <v>1</v>
      </c>
      <c r="D122" s="959"/>
      <c r="E122" s="53">
        <f t="shared" si="19"/>
        <v>1</v>
      </c>
      <c r="F122" s="959"/>
      <c r="G122" s="53">
        <f t="shared" si="20"/>
        <v>1</v>
      </c>
      <c r="H122" s="959"/>
      <c r="I122" s="53">
        <f t="shared" si="21"/>
        <v>1</v>
      </c>
      <c r="J122" s="959"/>
      <c r="K122" s="53">
        <f t="shared" si="22"/>
        <v>1</v>
      </c>
      <c r="L122" s="959"/>
      <c r="M122" s="53">
        <f t="shared" si="23"/>
        <v>1</v>
      </c>
      <c r="N122" s="959"/>
      <c r="O122" s="53">
        <f t="shared" si="24"/>
        <v>1</v>
      </c>
      <c r="P122" s="959"/>
      <c r="Q122" s="53">
        <f t="shared" si="25"/>
        <v>1</v>
      </c>
      <c r="R122" s="487">
        <f t="shared" si="26"/>
        <v>0</v>
      </c>
      <c r="S122" s="796">
        <f t="shared" si="17"/>
        <v>0</v>
      </c>
    </row>
    <row r="123" spans="1:19">
      <c r="A123" s="961"/>
      <c r="B123" s="137"/>
      <c r="C123" s="53">
        <f t="shared" si="18"/>
        <v>1</v>
      </c>
      <c r="D123" s="959"/>
      <c r="E123" s="53">
        <f t="shared" si="19"/>
        <v>1</v>
      </c>
      <c r="F123" s="959"/>
      <c r="G123" s="53">
        <f t="shared" si="20"/>
        <v>1</v>
      </c>
      <c r="H123" s="959"/>
      <c r="I123" s="53">
        <f t="shared" si="21"/>
        <v>1</v>
      </c>
      <c r="J123" s="959"/>
      <c r="K123" s="53">
        <f t="shared" si="22"/>
        <v>1</v>
      </c>
      <c r="L123" s="959"/>
      <c r="M123" s="53">
        <f t="shared" si="23"/>
        <v>1</v>
      </c>
      <c r="N123" s="959"/>
      <c r="O123" s="53">
        <f t="shared" si="24"/>
        <v>1</v>
      </c>
      <c r="P123" s="959"/>
      <c r="Q123" s="53">
        <f t="shared" si="25"/>
        <v>1</v>
      </c>
      <c r="R123" s="487">
        <f t="shared" si="26"/>
        <v>0</v>
      </c>
      <c r="S123" s="796">
        <f t="shared" ref="S123:S186" si="27">ROUND(R123*B123/10000,0)</f>
        <v>0</v>
      </c>
    </row>
    <row r="124" spans="1:19">
      <c r="A124" s="961"/>
      <c r="B124" s="137"/>
      <c r="C124" s="53">
        <f t="shared" si="18"/>
        <v>1</v>
      </c>
      <c r="D124" s="959"/>
      <c r="E124" s="53">
        <f t="shared" si="19"/>
        <v>1</v>
      </c>
      <c r="F124" s="959"/>
      <c r="G124" s="53">
        <f t="shared" si="20"/>
        <v>1</v>
      </c>
      <c r="H124" s="959"/>
      <c r="I124" s="53">
        <f t="shared" si="21"/>
        <v>1</v>
      </c>
      <c r="J124" s="959"/>
      <c r="K124" s="53">
        <f t="shared" si="22"/>
        <v>1</v>
      </c>
      <c r="L124" s="959"/>
      <c r="M124" s="53">
        <f t="shared" si="23"/>
        <v>1</v>
      </c>
      <c r="N124" s="959"/>
      <c r="O124" s="53">
        <f t="shared" si="24"/>
        <v>1</v>
      </c>
      <c r="P124" s="959"/>
      <c r="Q124" s="53">
        <f t="shared" si="25"/>
        <v>1</v>
      </c>
      <c r="R124" s="487">
        <f t="shared" si="26"/>
        <v>0</v>
      </c>
      <c r="S124" s="796">
        <f t="shared" si="27"/>
        <v>0</v>
      </c>
    </row>
    <row r="125" spans="1:19">
      <c r="A125" s="961"/>
      <c r="B125" s="137"/>
      <c r="C125" s="53">
        <f t="shared" si="18"/>
        <v>1</v>
      </c>
      <c r="D125" s="959"/>
      <c r="E125" s="53">
        <f t="shared" si="19"/>
        <v>1</v>
      </c>
      <c r="F125" s="959"/>
      <c r="G125" s="53">
        <f t="shared" si="20"/>
        <v>1</v>
      </c>
      <c r="H125" s="959"/>
      <c r="I125" s="53">
        <f t="shared" si="21"/>
        <v>1</v>
      </c>
      <c r="J125" s="959"/>
      <c r="K125" s="53">
        <f t="shared" si="22"/>
        <v>1</v>
      </c>
      <c r="L125" s="959"/>
      <c r="M125" s="53">
        <f t="shared" si="23"/>
        <v>1</v>
      </c>
      <c r="N125" s="959"/>
      <c r="O125" s="53">
        <f t="shared" si="24"/>
        <v>1</v>
      </c>
      <c r="P125" s="959"/>
      <c r="Q125" s="53">
        <f t="shared" si="25"/>
        <v>1</v>
      </c>
      <c r="R125" s="487">
        <f t="shared" si="26"/>
        <v>0</v>
      </c>
      <c r="S125" s="796">
        <f t="shared" si="27"/>
        <v>0</v>
      </c>
    </row>
    <row r="126" spans="1:19">
      <c r="A126" s="961"/>
      <c r="B126" s="137"/>
      <c r="C126" s="53">
        <f t="shared" si="18"/>
        <v>1</v>
      </c>
      <c r="D126" s="959"/>
      <c r="E126" s="53">
        <f t="shared" si="19"/>
        <v>1</v>
      </c>
      <c r="F126" s="959"/>
      <c r="G126" s="53">
        <f t="shared" si="20"/>
        <v>1</v>
      </c>
      <c r="H126" s="959"/>
      <c r="I126" s="53">
        <f t="shared" si="21"/>
        <v>1</v>
      </c>
      <c r="J126" s="959"/>
      <c r="K126" s="53">
        <f t="shared" si="22"/>
        <v>1</v>
      </c>
      <c r="L126" s="959"/>
      <c r="M126" s="53">
        <f t="shared" si="23"/>
        <v>1</v>
      </c>
      <c r="N126" s="959"/>
      <c r="O126" s="53">
        <f t="shared" si="24"/>
        <v>1</v>
      </c>
      <c r="P126" s="959"/>
      <c r="Q126" s="53">
        <f t="shared" si="25"/>
        <v>1</v>
      </c>
      <c r="R126" s="487">
        <f t="shared" si="26"/>
        <v>0</v>
      </c>
      <c r="S126" s="796">
        <f t="shared" si="27"/>
        <v>0</v>
      </c>
    </row>
    <row r="127" spans="1:19">
      <c r="A127" s="961"/>
      <c r="B127" s="137"/>
      <c r="C127" s="53">
        <f t="shared" si="18"/>
        <v>1</v>
      </c>
      <c r="D127" s="959"/>
      <c r="E127" s="53">
        <f t="shared" si="19"/>
        <v>1</v>
      </c>
      <c r="F127" s="959"/>
      <c r="G127" s="53">
        <f t="shared" si="20"/>
        <v>1</v>
      </c>
      <c r="H127" s="959"/>
      <c r="I127" s="53">
        <f t="shared" si="21"/>
        <v>1</v>
      </c>
      <c r="J127" s="959"/>
      <c r="K127" s="53">
        <f t="shared" si="22"/>
        <v>1</v>
      </c>
      <c r="L127" s="959"/>
      <c r="M127" s="53">
        <f t="shared" si="23"/>
        <v>1</v>
      </c>
      <c r="N127" s="959"/>
      <c r="O127" s="53">
        <f t="shared" si="24"/>
        <v>1</v>
      </c>
      <c r="P127" s="959"/>
      <c r="Q127" s="53">
        <f t="shared" si="25"/>
        <v>1</v>
      </c>
      <c r="R127" s="487">
        <f t="shared" si="26"/>
        <v>0</v>
      </c>
      <c r="S127" s="796">
        <f t="shared" si="27"/>
        <v>0</v>
      </c>
    </row>
    <row r="128" spans="1:19">
      <c r="A128" s="961"/>
      <c r="B128" s="137"/>
      <c r="C128" s="53">
        <f t="shared" si="18"/>
        <v>1</v>
      </c>
      <c r="D128" s="959"/>
      <c r="E128" s="53">
        <f t="shared" si="19"/>
        <v>1</v>
      </c>
      <c r="F128" s="959"/>
      <c r="G128" s="53">
        <f t="shared" si="20"/>
        <v>1</v>
      </c>
      <c r="H128" s="959"/>
      <c r="I128" s="53">
        <f t="shared" si="21"/>
        <v>1</v>
      </c>
      <c r="J128" s="959"/>
      <c r="K128" s="53">
        <f t="shared" si="22"/>
        <v>1</v>
      </c>
      <c r="L128" s="959"/>
      <c r="M128" s="53">
        <f t="shared" si="23"/>
        <v>1</v>
      </c>
      <c r="N128" s="959"/>
      <c r="O128" s="53">
        <f t="shared" si="24"/>
        <v>1</v>
      </c>
      <c r="P128" s="959"/>
      <c r="Q128" s="53">
        <f t="shared" si="25"/>
        <v>1</v>
      </c>
      <c r="R128" s="487">
        <f t="shared" si="26"/>
        <v>0</v>
      </c>
      <c r="S128" s="796">
        <f t="shared" si="27"/>
        <v>0</v>
      </c>
    </row>
    <row r="129" spans="1:19">
      <c r="A129" s="961"/>
      <c r="B129" s="137"/>
      <c r="C129" s="53">
        <f t="shared" si="18"/>
        <v>1</v>
      </c>
      <c r="D129" s="959"/>
      <c r="E129" s="53">
        <f t="shared" si="19"/>
        <v>1</v>
      </c>
      <c r="F129" s="959"/>
      <c r="G129" s="53">
        <f t="shared" si="20"/>
        <v>1</v>
      </c>
      <c r="H129" s="959"/>
      <c r="I129" s="53">
        <f t="shared" si="21"/>
        <v>1</v>
      </c>
      <c r="J129" s="959"/>
      <c r="K129" s="53">
        <f t="shared" si="22"/>
        <v>1</v>
      </c>
      <c r="L129" s="959"/>
      <c r="M129" s="53">
        <f t="shared" si="23"/>
        <v>1</v>
      </c>
      <c r="N129" s="959"/>
      <c r="O129" s="53">
        <f t="shared" si="24"/>
        <v>1</v>
      </c>
      <c r="P129" s="959"/>
      <c r="Q129" s="53">
        <f t="shared" si="25"/>
        <v>1</v>
      </c>
      <c r="R129" s="487">
        <f t="shared" si="26"/>
        <v>0</v>
      </c>
      <c r="S129" s="796">
        <f t="shared" si="27"/>
        <v>0</v>
      </c>
    </row>
    <row r="130" spans="1:19">
      <c r="A130" s="961"/>
      <c r="B130" s="137"/>
      <c r="C130" s="53">
        <f t="shared" si="18"/>
        <v>1</v>
      </c>
      <c r="D130" s="959"/>
      <c r="E130" s="53">
        <f t="shared" si="19"/>
        <v>1</v>
      </c>
      <c r="F130" s="959"/>
      <c r="G130" s="53">
        <f t="shared" si="20"/>
        <v>1</v>
      </c>
      <c r="H130" s="959"/>
      <c r="I130" s="53">
        <f t="shared" si="21"/>
        <v>1</v>
      </c>
      <c r="J130" s="959"/>
      <c r="K130" s="53">
        <f t="shared" si="22"/>
        <v>1</v>
      </c>
      <c r="L130" s="959"/>
      <c r="M130" s="53">
        <f t="shared" si="23"/>
        <v>1</v>
      </c>
      <c r="N130" s="959"/>
      <c r="O130" s="53">
        <f t="shared" si="24"/>
        <v>1</v>
      </c>
      <c r="P130" s="959"/>
      <c r="Q130" s="53">
        <f t="shared" si="25"/>
        <v>1</v>
      </c>
      <c r="R130" s="487">
        <f t="shared" si="26"/>
        <v>0</v>
      </c>
      <c r="S130" s="796">
        <f t="shared" si="27"/>
        <v>0</v>
      </c>
    </row>
    <row r="131" spans="1:19">
      <c r="A131" s="961"/>
      <c r="B131" s="137"/>
      <c r="C131" s="53">
        <f t="shared" si="18"/>
        <v>1</v>
      </c>
      <c r="D131" s="959"/>
      <c r="E131" s="53">
        <f t="shared" si="19"/>
        <v>1</v>
      </c>
      <c r="F131" s="959"/>
      <c r="G131" s="53">
        <f t="shared" si="20"/>
        <v>1</v>
      </c>
      <c r="H131" s="959"/>
      <c r="I131" s="53">
        <f t="shared" si="21"/>
        <v>1</v>
      </c>
      <c r="J131" s="959"/>
      <c r="K131" s="53">
        <f t="shared" si="22"/>
        <v>1</v>
      </c>
      <c r="L131" s="959"/>
      <c r="M131" s="53">
        <f t="shared" si="23"/>
        <v>1</v>
      </c>
      <c r="N131" s="959"/>
      <c r="O131" s="53">
        <f t="shared" si="24"/>
        <v>1</v>
      </c>
      <c r="P131" s="959"/>
      <c r="Q131" s="53">
        <f t="shared" si="25"/>
        <v>1</v>
      </c>
      <c r="R131" s="487">
        <f t="shared" si="26"/>
        <v>0</v>
      </c>
      <c r="S131" s="796">
        <f t="shared" si="27"/>
        <v>0</v>
      </c>
    </row>
    <row r="132" spans="1:19">
      <c r="A132" s="961"/>
      <c r="B132" s="137"/>
      <c r="C132" s="53">
        <f t="shared" si="18"/>
        <v>1</v>
      </c>
      <c r="D132" s="959"/>
      <c r="E132" s="53">
        <f t="shared" si="19"/>
        <v>1</v>
      </c>
      <c r="F132" s="959"/>
      <c r="G132" s="53">
        <f t="shared" si="20"/>
        <v>1</v>
      </c>
      <c r="H132" s="959"/>
      <c r="I132" s="53">
        <f t="shared" si="21"/>
        <v>1</v>
      </c>
      <c r="J132" s="959"/>
      <c r="K132" s="53">
        <f t="shared" si="22"/>
        <v>1</v>
      </c>
      <c r="L132" s="959"/>
      <c r="M132" s="53">
        <f t="shared" si="23"/>
        <v>1</v>
      </c>
      <c r="N132" s="959"/>
      <c r="O132" s="53">
        <f t="shared" si="24"/>
        <v>1</v>
      </c>
      <c r="P132" s="959"/>
      <c r="Q132" s="53">
        <f t="shared" si="25"/>
        <v>1</v>
      </c>
      <c r="R132" s="487">
        <f t="shared" si="26"/>
        <v>0</v>
      </c>
      <c r="S132" s="796">
        <f t="shared" si="27"/>
        <v>0</v>
      </c>
    </row>
    <row r="133" spans="1:19">
      <c r="A133" s="961"/>
      <c r="B133" s="137"/>
      <c r="C133" s="53">
        <f t="shared" si="18"/>
        <v>1</v>
      </c>
      <c r="D133" s="959"/>
      <c r="E133" s="53">
        <f t="shared" si="19"/>
        <v>1</v>
      </c>
      <c r="F133" s="959"/>
      <c r="G133" s="53">
        <f t="shared" si="20"/>
        <v>1</v>
      </c>
      <c r="H133" s="959"/>
      <c r="I133" s="53">
        <f t="shared" si="21"/>
        <v>1</v>
      </c>
      <c r="J133" s="959"/>
      <c r="K133" s="53">
        <f t="shared" si="22"/>
        <v>1</v>
      </c>
      <c r="L133" s="959"/>
      <c r="M133" s="53">
        <f t="shared" si="23"/>
        <v>1</v>
      </c>
      <c r="N133" s="959"/>
      <c r="O133" s="53">
        <f t="shared" si="24"/>
        <v>1</v>
      </c>
      <c r="P133" s="959"/>
      <c r="Q133" s="53">
        <f t="shared" si="25"/>
        <v>1</v>
      </c>
      <c r="R133" s="487">
        <f t="shared" si="26"/>
        <v>0</v>
      </c>
      <c r="S133" s="796">
        <f t="shared" si="27"/>
        <v>0</v>
      </c>
    </row>
    <row r="134" spans="1:19">
      <c r="A134" s="961"/>
      <c r="B134" s="137"/>
      <c r="C134" s="53">
        <f t="shared" si="18"/>
        <v>1</v>
      </c>
      <c r="D134" s="959"/>
      <c r="E134" s="53">
        <f t="shared" si="19"/>
        <v>1</v>
      </c>
      <c r="F134" s="959"/>
      <c r="G134" s="53">
        <f t="shared" si="20"/>
        <v>1</v>
      </c>
      <c r="H134" s="959"/>
      <c r="I134" s="53">
        <f t="shared" si="21"/>
        <v>1</v>
      </c>
      <c r="J134" s="959"/>
      <c r="K134" s="53">
        <f t="shared" si="22"/>
        <v>1</v>
      </c>
      <c r="L134" s="959"/>
      <c r="M134" s="53">
        <f t="shared" si="23"/>
        <v>1</v>
      </c>
      <c r="N134" s="959"/>
      <c r="O134" s="53">
        <f t="shared" si="24"/>
        <v>1</v>
      </c>
      <c r="P134" s="959"/>
      <c r="Q134" s="53">
        <f t="shared" si="25"/>
        <v>1</v>
      </c>
      <c r="R134" s="487">
        <f t="shared" si="26"/>
        <v>0</v>
      </c>
      <c r="S134" s="796">
        <f t="shared" si="27"/>
        <v>0</v>
      </c>
    </row>
    <row r="135" spans="1:19">
      <c r="A135" s="961"/>
      <c r="B135" s="137"/>
      <c r="C135" s="53">
        <f t="shared" si="18"/>
        <v>1</v>
      </c>
      <c r="D135" s="959"/>
      <c r="E135" s="53">
        <f t="shared" si="19"/>
        <v>1</v>
      </c>
      <c r="F135" s="959"/>
      <c r="G135" s="53">
        <f t="shared" si="20"/>
        <v>1</v>
      </c>
      <c r="H135" s="959"/>
      <c r="I135" s="53">
        <f t="shared" si="21"/>
        <v>1</v>
      </c>
      <c r="J135" s="959"/>
      <c r="K135" s="53">
        <f t="shared" si="22"/>
        <v>1</v>
      </c>
      <c r="L135" s="959"/>
      <c r="M135" s="53">
        <f t="shared" si="23"/>
        <v>1</v>
      </c>
      <c r="N135" s="959"/>
      <c r="O135" s="53">
        <f t="shared" si="24"/>
        <v>1</v>
      </c>
      <c r="P135" s="959"/>
      <c r="Q135" s="53">
        <f t="shared" si="25"/>
        <v>1</v>
      </c>
      <c r="R135" s="487">
        <f t="shared" si="26"/>
        <v>0</v>
      </c>
      <c r="S135" s="796">
        <f t="shared" si="27"/>
        <v>0</v>
      </c>
    </row>
    <row r="136" spans="1:19">
      <c r="A136" s="961"/>
      <c r="B136" s="137"/>
      <c r="C136" s="53">
        <f t="shared" si="18"/>
        <v>1</v>
      </c>
      <c r="D136" s="959"/>
      <c r="E136" s="53">
        <f t="shared" si="19"/>
        <v>1</v>
      </c>
      <c r="F136" s="959"/>
      <c r="G136" s="53">
        <f t="shared" si="20"/>
        <v>1</v>
      </c>
      <c r="H136" s="959"/>
      <c r="I136" s="53">
        <f t="shared" si="21"/>
        <v>1</v>
      </c>
      <c r="J136" s="959"/>
      <c r="K136" s="53">
        <f t="shared" si="22"/>
        <v>1</v>
      </c>
      <c r="L136" s="959"/>
      <c r="M136" s="53">
        <f t="shared" si="23"/>
        <v>1</v>
      </c>
      <c r="N136" s="959"/>
      <c r="O136" s="53">
        <f t="shared" si="24"/>
        <v>1</v>
      </c>
      <c r="P136" s="959"/>
      <c r="Q136" s="53">
        <f t="shared" si="25"/>
        <v>1</v>
      </c>
      <c r="R136" s="487">
        <f t="shared" si="26"/>
        <v>0</v>
      </c>
      <c r="S136" s="796">
        <f t="shared" si="27"/>
        <v>0</v>
      </c>
    </row>
    <row r="137" spans="1:19">
      <c r="A137" s="961"/>
      <c r="B137" s="137"/>
      <c r="C137" s="53">
        <f t="shared" si="18"/>
        <v>1</v>
      </c>
      <c r="D137" s="959"/>
      <c r="E137" s="53">
        <f t="shared" si="19"/>
        <v>1</v>
      </c>
      <c r="F137" s="959"/>
      <c r="G137" s="53">
        <f t="shared" si="20"/>
        <v>1</v>
      </c>
      <c r="H137" s="959"/>
      <c r="I137" s="53">
        <f t="shared" si="21"/>
        <v>1</v>
      </c>
      <c r="J137" s="959"/>
      <c r="K137" s="53">
        <f t="shared" si="22"/>
        <v>1</v>
      </c>
      <c r="L137" s="959"/>
      <c r="M137" s="53">
        <f t="shared" si="23"/>
        <v>1</v>
      </c>
      <c r="N137" s="959"/>
      <c r="O137" s="53">
        <f t="shared" si="24"/>
        <v>1</v>
      </c>
      <c r="P137" s="959"/>
      <c r="Q137" s="53">
        <f t="shared" si="25"/>
        <v>1</v>
      </c>
      <c r="R137" s="487">
        <f t="shared" si="26"/>
        <v>0</v>
      </c>
      <c r="S137" s="796">
        <f t="shared" si="27"/>
        <v>0</v>
      </c>
    </row>
    <row r="138" spans="1:19">
      <c r="A138" s="961"/>
      <c r="B138" s="137"/>
      <c r="C138" s="53">
        <f t="shared" si="18"/>
        <v>1</v>
      </c>
      <c r="D138" s="959"/>
      <c r="E138" s="53">
        <f t="shared" si="19"/>
        <v>1</v>
      </c>
      <c r="F138" s="959"/>
      <c r="G138" s="53">
        <f t="shared" si="20"/>
        <v>1</v>
      </c>
      <c r="H138" s="959"/>
      <c r="I138" s="53">
        <f t="shared" si="21"/>
        <v>1</v>
      </c>
      <c r="J138" s="959"/>
      <c r="K138" s="53">
        <f t="shared" si="22"/>
        <v>1</v>
      </c>
      <c r="L138" s="959"/>
      <c r="M138" s="53">
        <f t="shared" si="23"/>
        <v>1</v>
      </c>
      <c r="N138" s="959"/>
      <c r="O138" s="53">
        <f t="shared" si="24"/>
        <v>1</v>
      </c>
      <c r="P138" s="959"/>
      <c r="Q138" s="53">
        <f t="shared" si="25"/>
        <v>1</v>
      </c>
      <c r="R138" s="487">
        <f t="shared" si="26"/>
        <v>0</v>
      </c>
      <c r="S138" s="796">
        <f t="shared" si="27"/>
        <v>0</v>
      </c>
    </row>
    <row r="139" spans="1:19">
      <c r="A139" s="961"/>
      <c r="B139" s="137"/>
      <c r="C139" s="53">
        <f t="shared" si="18"/>
        <v>1</v>
      </c>
      <c r="D139" s="959"/>
      <c r="E139" s="53">
        <f t="shared" si="19"/>
        <v>1</v>
      </c>
      <c r="F139" s="959"/>
      <c r="G139" s="53">
        <f t="shared" si="20"/>
        <v>1</v>
      </c>
      <c r="H139" s="959"/>
      <c r="I139" s="53">
        <f t="shared" si="21"/>
        <v>1</v>
      </c>
      <c r="J139" s="959"/>
      <c r="K139" s="53">
        <f t="shared" si="22"/>
        <v>1</v>
      </c>
      <c r="L139" s="959"/>
      <c r="M139" s="53">
        <f t="shared" si="23"/>
        <v>1</v>
      </c>
      <c r="N139" s="959"/>
      <c r="O139" s="53">
        <f t="shared" si="24"/>
        <v>1</v>
      </c>
      <c r="P139" s="959"/>
      <c r="Q139" s="53">
        <f t="shared" si="25"/>
        <v>1</v>
      </c>
      <c r="R139" s="487">
        <f t="shared" si="26"/>
        <v>0</v>
      </c>
      <c r="S139" s="796">
        <f t="shared" si="27"/>
        <v>0</v>
      </c>
    </row>
    <row r="140" spans="1:19">
      <c r="A140" s="961"/>
      <c r="B140" s="137"/>
      <c r="C140" s="53">
        <f t="shared" si="18"/>
        <v>1</v>
      </c>
      <c r="D140" s="959"/>
      <c r="E140" s="53">
        <f t="shared" si="19"/>
        <v>1</v>
      </c>
      <c r="F140" s="959"/>
      <c r="G140" s="53">
        <f t="shared" si="20"/>
        <v>1</v>
      </c>
      <c r="H140" s="959"/>
      <c r="I140" s="53">
        <f t="shared" si="21"/>
        <v>1</v>
      </c>
      <c r="J140" s="959"/>
      <c r="K140" s="53">
        <f t="shared" si="22"/>
        <v>1</v>
      </c>
      <c r="L140" s="959"/>
      <c r="M140" s="53">
        <f t="shared" si="23"/>
        <v>1</v>
      </c>
      <c r="N140" s="959"/>
      <c r="O140" s="53">
        <f t="shared" si="24"/>
        <v>1</v>
      </c>
      <c r="P140" s="959"/>
      <c r="Q140" s="53">
        <f t="shared" si="25"/>
        <v>1</v>
      </c>
      <c r="R140" s="487">
        <f t="shared" si="26"/>
        <v>0</v>
      </c>
      <c r="S140" s="796">
        <f t="shared" si="27"/>
        <v>0</v>
      </c>
    </row>
    <row r="141" spans="1:19">
      <c r="A141" s="961"/>
      <c r="B141" s="137"/>
      <c r="C141" s="53">
        <f t="shared" si="18"/>
        <v>1</v>
      </c>
      <c r="D141" s="959"/>
      <c r="E141" s="53">
        <f t="shared" si="19"/>
        <v>1</v>
      </c>
      <c r="F141" s="959"/>
      <c r="G141" s="53">
        <f t="shared" si="20"/>
        <v>1</v>
      </c>
      <c r="H141" s="959"/>
      <c r="I141" s="53">
        <f t="shared" si="21"/>
        <v>1</v>
      </c>
      <c r="J141" s="959"/>
      <c r="K141" s="53">
        <f t="shared" si="22"/>
        <v>1</v>
      </c>
      <c r="L141" s="959"/>
      <c r="M141" s="53">
        <f t="shared" si="23"/>
        <v>1</v>
      </c>
      <c r="N141" s="959"/>
      <c r="O141" s="53">
        <f t="shared" si="24"/>
        <v>1</v>
      </c>
      <c r="P141" s="959"/>
      <c r="Q141" s="53">
        <f t="shared" si="25"/>
        <v>1</v>
      </c>
      <c r="R141" s="487">
        <f t="shared" si="26"/>
        <v>0</v>
      </c>
      <c r="S141" s="796">
        <f t="shared" si="27"/>
        <v>0</v>
      </c>
    </row>
    <row r="142" spans="1:19">
      <c r="A142" s="961"/>
      <c r="B142" s="137"/>
      <c r="C142" s="53">
        <f t="shared" si="18"/>
        <v>1</v>
      </c>
      <c r="D142" s="959"/>
      <c r="E142" s="53">
        <f t="shared" si="19"/>
        <v>1</v>
      </c>
      <c r="F142" s="959"/>
      <c r="G142" s="53">
        <f t="shared" si="20"/>
        <v>1</v>
      </c>
      <c r="H142" s="959"/>
      <c r="I142" s="53">
        <f t="shared" si="21"/>
        <v>1</v>
      </c>
      <c r="J142" s="959"/>
      <c r="K142" s="53">
        <f t="shared" si="22"/>
        <v>1</v>
      </c>
      <c r="L142" s="959"/>
      <c r="M142" s="53">
        <f t="shared" si="23"/>
        <v>1</v>
      </c>
      <c r="N142" s="959"/>
      <c r="O142" s="53">
        <f t="shared" si="24"/>
        <v>1</v>
      </c>
      <c r="P142" s="959"/>
      <c r="Q142" s="53">
        <f t="shared" si="25"/>
        <v>1</v>
      </c>
      <c r="R142" s="487">
        <f t="shared" si="26"/>
        <v>0</v>
      </c>
      <c r="S142" s="796">
        <f t="shared" si="27"/>
        <v>0</v>
      </c>
    </row>
    <row r="143" spans="1:19">
      <c r="A143" s="961"/>
      <c r="B143" s="137"/>
      <c r="C143" s="53">
        <f t="shared" si="18"/>
        <v>1</v>
      </c>
      <c r="D143" s="959"/>
      <c r="E143" s="53">
        <f t="shared" si="19"/>
        <v>1</v>
      </c>
      <c r="F143" s="959"/>
      <c r="G143" s="53">
        <f t="shared" si="20"/>
        <v>1</v>
      </c>
      <c r="H143" s="959"/>
      <c r="I143" s="53">
        <f t="shared" si="21"/>
        <v>1</v>
      </c>
      <c r="J143" s="959"/>
      <c r="K143" s="53">
        <f t="shared" si="22"/>
        <v>1</v>
      </c>
      <c r="L143" s="959"/>
      <c r="M143" s="53">
        <f t="shared" si="23"/>
        <v>1</v>
      </c>
      <c r="N143" s="959"/>
      <c r="O143" s="53">
        <f t="shared" si="24"/>
        <v>1</v>
      </c>
      <c r="P143" s="959"/>
      <c r="Q143" s="53">
        <f t="shared" si="25"/>
        <v>1</v>
      </c>
      <c r="R143" s="487">
        <f t="shared" si="26"/>
        <v>0</v>
      </c>
      <c r="S143" s="796">
        <f t="shared" si="27"/>
        <v>0</v>
      </c>
    </row>
    <row r="144" spans="1:19">
      <c r="A144" s="961"/>
      <c r="B144" s="137"/>
      <c r="C144" s="53">
        <f t="shared" si="18"/>
        <v>1</v>
      </c>
      <c r="D144" s="959"/>
      <c r="E144" s="53">
        <f t="shared" si="19"/>
        <v>1</v>
      </c>
      <c r="F144" s="959"/>
      <c r="G144" s="53">
        <f t="shared" si="20"/>
        <v>1</v>
      </c>
      <c r="H144" s="959"/>
      <c r="I144" s="53">
        <f t="shared" si="21"/>
        <v>1</v>
      </c>
      <c r="J144" s="959"/>
      <c r="K144" s="53">
        <f t="shared" si="22"/>
        <v>1</v>
      </c>
      <c r="L144" s="959"/>
      <c r="M144" s="53">
        <f t="shared" si="23"/>
        <v>1</v>
      </c>
      <c r="N144" s="959"/>
      <c r="O144" s="53">
        <f t="shared" si="24"/>
        <v>1</v>
      </c>
      <c r="P144" s="959"/>
      <c r="Q144" s="53">
        <f t="shared" si="25"/>
        <v>1</v>
      </c>
      <c r="R144" s="487">
        <f t="shared" si="26"/>
        <v>0</v>
      </c>
      <c r="S144" s="796">
        <f t="shared" si="27"/>
        <v>0</v>
      </c>
    </row>
    <row r="145" spans="1:19">
      <c r="A145" s="961"/>
      <c r="B145" s="137"/>
      <c r="C145" s="53">
        <f t="shared" si="18"/>
        <v>1</v>
      </c>
      <c r="D145" s="959"/>
      <c r="E145" s="53">
        <f t="shared" si="19"/>
        <v>1</v>
      </c>
      <c r="F145" s="959"/>
      <c r="G145" s="53">
        <f t="shared" si="20"/>
        <v>1</v>
      </c>
      <c r="H145" s="959"/>
      <c r="I145" s="53">
        <f t="shared" si="21"/>
        <v>1</v>
      </c>
      <c r="J145" s="959"/>
      <c r="K145" s="53">
        <f t="shared" si="22"/>
        <v>1</v>
      </c>
      <c r="L145" s="959"/>
      <c r="M145" s="53">
        <f t="shared" si="23"/>
        <v>1</v>
      </c>
      <c r="N145" s="959"/>
      <c r="O145" s="53">
        <f t="shared" si="24"/>
        <v>1</v>
      </c>
      <c r="P145" s="959"/>
      <c r="Q145" s="53">
        <f t="shared" si="25"/>
        <v>1</v>
      </c>
      <c r="R145" s="487">
        <f t="shared" si="26"/>
        <v>0</v>
      </c>
      <c r="S145" s="796">
        <f t="shared" si="27"/>
        <v>0</v>
      </c>
    </row>
    <row r="146" spans="1:19">
      <c r="A146" s="961"/>
      <c r="B146" s="137"/>
      <c r="C146" s="53">
        <f t="shared" si="18"/>
        <v>1</v>
      </c>
      <c r="D146" s="959"/>
      <c r="E146" s="53">
        <f t="shared" si="19"/>
        <v>1</v>
      </c>
      <c r="F146" s="959"/>
      <c r="G146" s="53">
        <f t="shared" si="20"/>
        <v>1</v>
      </c>
      <c r="H146" s="959"/>
      <c r="I146" s="53">
        <f t="shared" si="21"/>
        <v>1</v>
      </c>
      <c r="J146" s="959"/>
      <c r="K146" s="53">
        <f t="shared" si="22"/>
        <v>1</v>
      </c>
      <c r="L146" s="959"/>
      <c r="M146" s="53">
        <f t="shared" si="23"/>
        <v>1</v>
      </c>
      <c r="N146" s="959"/>
      <c r="O146" s="53">
        <f t="shared" si="24"/>
        <v>1</v>
      </c>
      <c r="P146" s="959"/>
      <c r="Q146" s="53">
        <f t="shared" si="25"/>
        <v>1</v>
      </c>
      <c r="R146" s="487">
        <f t="shared" si="26"/>
        <v>0</v>
      </c>
      <c r="S146" s="796">
        <f t="shared" si="27"/>
        <v>0</v>
      </c>
    </row>
    <row r="147" spans="1:19">
      <c r="A147" s="961"/>
      <c r="B147" s="137"/>
      <c r="C147" s="53">
        <f t="shared" si="18"/>
        <v>1</v>
      </c>
      <c r="D147" s="959"/>
      <c r="E147" s="53">
        <f t="shared" si="19"/>
        <v>1</v>
      </c>
      <c r="F147" s="959"/>
      <c r="G147" s="53">
        <f t="shared" si="20"/>
        <v>1</v>
      </c>
      <c r="H147" s="959"/>
      <c r="I147" s="53">
        <f t="shared" si="21"/>
        <v>1</v>
      </c>
      <c r="J147" s="959"/>
      <c r="K147" s="53">
        <f t="shared" si="22"/>
        <v>1</v>
      </c>
      <c r="L147" s="959"/>
      <c r="M147" s="53">
        <f t="shared" si="23"/>
        <v>1</v>
      </c>
      <c r="N147" s="959"/>
      <c r="O147" s="53">
        <f t="shared" si="24"/>
        <v>1</v>
      </c>
      <c r="P147" s="959"/>
      <c r="Q147" s="53">
        <f t="shared" si="25"/>
        <v>1</v>
      </c>
      <c r="R147" s="487">
        <f t="shared" si="26"/>
        <v>0</v>
      </c>
      <c r="S147" s="796">
        <f t="shared" si="27"/>
        <v>0</v>
      </c>
    </row>
    <row r="148" spans="1:19">
      <c r="A148" s="961"/>
      <c r="B148" s="137"/>
      <c r="C148" s="53">
        <f t="shared" si="18"/>
        <v>1</v>
      </c>
      <c r="D148" s="959"/>
      <c r="E148" s="53">
        <f t="shared" si="19"/>
        <v>1</v>
      </c>
      <c r="F148" s="959"/>
      <c r="G148" s="53">
        <f t="shared" si="20"/>
        <v>1</v>
      </c>
      <c r="H148" s="959"/>
      <c r="I148" s="53">
        <f t="shared" si="21"/>
        <v>1</v>
      </c>
      <c r="J148" s="959"/>
      <c r="K148" s="53">
        <f t="shared" si="22"/>
        <v>1</v>
      </c>
      <c r="L148" s="959"/>
      <c r="M148" s="53">
        <f t="shared" si="23"/>
        <v>1</v>
      </c>
      <c r="N148" s="959"/>
      <c r="O148" s="53">
        <f t="shared" si="24"/>
        <v>1</v>
      </c>
      <c r="P148" s="959"/>
      <c r="Q148" s="53">
        <f t="shared" si="25"/>
        <v>1</v>
      </c>
      <c r="R148" s="487">
        <f t="shared" si="26"/>
        <v>0</v>
      </c>
      <c r="S148" s="796">
        <f t="shared" si="27"/>
        <v>0</v>
      </c>
    </row>
    <row r="149" spans="1:19">
      <c r="A149" s="961"/>
      <c r="B149" s="137"/>
      <c r="C149" s="53">
        <f t="shared" si="18"/>
        <v>1</v>
      </c>
      <c r="D149" s="959"/>
      <c r="E149" s="53">
        <f t="shared" si="19"/>
        <v>1</v>
      </c>
      <c r="F149" s="959"/>
      <c r="G149" s="53">
        <f t="shared" si="20"/>
        <v>1</v>
      </c>
      <c r="H149" s="959"/>
      <c r="I149" s="53">
        <f t="shared" si="21"/>
        <v>1</v>
      </c>
      <c r="J149" s="959"/>
      <c r="K149" s="53">
        <f t="shared" si="22"/>
        <v>1</v>
      </c>
      <c r="L149" s="959"/>
      <c r="M149" s="53">
        <f t="shared" si="23"/>
        <v>1</v>
      </c>
      <c r="N149" s="959"/>
      <c r="O149" s="53">
        <f t="shared" si="24"/>
        <v>1</v>
      </c>
      <c r="P149" s="959"/>
      <c r="Q149" s="53">
        <f t="shared" si="25"/>
        <v>1</v>
      </c>
      <c r="R149" s="487">
        <f t="shared" si="26"/>
        <v>0</v>
      </c>
      <c r="S149" s="796">
        <f t="shared" si="27"/>
        <v>0</v>
      </c>
    </row>
    <row r="150" spans="1:19">
      <c r="A150" s="961"/>
      <c r="B150" s="137"/>
      <c r="C150" s="53">
        <f t="shared" si="18"/>
        <v>1</v>
      </c>
      <c r="D150" s="959"/>
      <c r="E150" s="53">
        <f t="shared" si="19"/>
        <v>1</v>
      </c>
      <c r="F150" s="959"/>
      <c r="G150" s="53">
        <f t="shared" si="20"/>
        <v>1</v>
      </c>
      <c r="H150" s="959"/>
      <c r="I150" s="53">
        <f t="shared" si="21"/>
        <v>1</v>
      </c>
      <c r="J150" s="959"/>
      <c r="K150" s="53">
        <f t="shared" si="22"/>
        <v>1</v>
      </c>
      <c r="L150" s="959"/>
      <c r="M150" s="53">
        <f t="shared" si="23"/>
        <v>1</v>
      </c>
      <c r="N150" s="959"/>
      <c r="O150" s="53">
        <f t="shared" si="24"/>
        <v>1</v>
      </c>
      <c r="P150" s="959"/>
      <c r="Q150" s="53">
        <f t="shared" si="25"/>
        <v>1</v>
      </c>
      <c r="R150" s="487">
        <f t="shared" si="26"/>
        <v>0</v>
      </c>
      <c r="S150" s="796">
        <f t="shared" si="27"/>
        <v>0</v>
      </c>
    </row>
    <row r="151" spans="1:19">
      <c r="A151" s="961"/>
      <c r="B151" s="137"/>
      <c r="C151" s="53">
        <f t="shared" si="18"/>
        <v>1</v>
      </c>
      <c r="D151" s="959"/>
      <c r="E151" s="53">
        <f t="shared" si="19"/>
        <v>1</v>
      </c>
      <c r="F151" s="959"/>
      <c r="G151" s="53">
        <f t="shared" si="20"/>
        <v>1</v>
      </c>
      <c r="H151" s="959"/>
      <c r="I151" s="53">
        <f t="shared" si="21"/>
        <v>1</v>
      </c>
      <c r="J151" s="959"/>
      <c r="K151" s="53">
        <f t="shared" si="22"/>
        <v>1</v>
      </c>
      <c r="L151" s="959"/>
      <c r="M151" s="53">
        <f t="shared" si="23"/>
        <v>1</v>
      </c>
      <c r="N151" s="959"/>
      <c r="O151" s="53">
        <f t="shared" si="24"/>
        <v>1</v>
      </c>
      <c r="P151" s="959"/>
      <c r="Q151" s="53">
        <f t="shared" si="25"/>
        <v>1</v>
      </c>
      <c r="R151" s="487">
        <f t="shared" si="26"/>
        <v>0</v>
      </c>
      <c r="S151" s="796">
        <f t="shared" si="27"/>
        <v>0</v>
      </c>
    </row>
    <row r="152" spans="1:19">
      <c r="A152" s="961"/>
      <c r="B152" s="137"/>
      <c r="C152" s="53">
        <f t="shared" si="18"/>
        <v>1</v>
      </c>
      <c r="D152" s="959"/>
      <c r="E152" s="53">
        <f t="shared" si="19"/>
        <v>1</v>
      </c>
      <c r="F152" s="959"/>
      <c r="G152" s="53">
        <f t="shared" si="20"/>
        <v>1</v>
      </c>
      <c r="H152" s="959"/>
      <c r="I152" s="53">
        <f t="shared" si="21"/>
        <v>1</v>
      </c>
      <c r="J152" s="959"/>
      <c r="K152" s="53">
        <f t="shared" si="22"/>
        <v>1</v>
      </c>
      <c r="L152" s="959"/>
      <c r="M152" s="53">
        <f t="shared" si="23"/>
        <v>1</v>
      </c>
      <c r="N152" s="959"/>
      <c r="O152" s="53">
        <f t="shared" si="24"/>
        <v>1</v>
      </c>
      <c r="P152" s="959"/>
      <c r="Q152" s="53">
        <f t="shared" si="25"/>
        <v>1</v>
      </c>
      <c r="R152" s="487">
        <f t="shared" si="26"/>
        <v>0</v>
      </c>
      <c r="S152" s="796">
        <f t="shared" si="27"/>
        <v>0</v>
      </c>
    </row>
    <row r="153" spans="1:19">
      <c r="A153" s="961"/>
      <c r="B153" s="137"/>
      <c r="C153" s="53">
        <f t="shared" si="18"/>
        <v>1</v>
      </c>
      <c r="D153" s="959"/>
      <c r="E153" s="53">
        <f t="shared" si="19"/>
        <v>1</v>
      </c>
      <c r="F153" s="959"/>
      <c r="G153" s="53">
        <f t="shared" si="20"/>
        <v>1</v>
      </c>
      <c r="H153" s="959"/>
      <c r="I153" s="53">
        <f t="shared" si="21"/>
        <v>1</v>
      </c>
      <c r="J153" s="959"/>
      <c r="K153" s="53">
        <f t="shared" si="22"/>
        <v>1</v>
      </c>
      <c r="L153" s="959"/>
      <c r="M153" s="53">
        <f t="shared" si="23"/>
        <v>1</v>
      </c>
      <c r="N153" s="959"/>
      <c r="O153" s="53">
        <f t="shared" si="24"/>
        <v>1</v>
      </c>
      <c r="P153" s="959"/>
      <c r="Q153" s="53">
        <f t="shared" si="25"/>
        <v>1</v>
      </c>
      <c r="R153" s="487">
        <f t="shared" si="26"/>
        <v>0</v>
      </c>
      <c r="S153" s="796">
        <f t="shared" si="27"/>
        <v>0</v>
      </c>
    </row>
    <row r="154" spans="1:19">
      <c r="A154" s="961"/>
      <c r="B154" s="137"/>
      <c r="C154" s="53">
        <f t="shared" ref="C154:C217" si="28">IF(B154="",1,(LOOKUP(B154,$3:$3,$4:$4)-LOOKUP($B$24,$3:$3,$4:$4)+100)/100)</f>
        <v>1</v>
      </c>
      <c r="D154" s="959"/>
      <c r="E154" s="53">
        <f t="shared" ref="E154:E217" si="29">(SUMIF($5:$5,D154,$6:$6)-SUMIF($5:$5,$D$24,$6:$6)+100)/100</f>
        <v>1</v>
      </c>
      <c r="F154" s="959"/>
      <c r="G154" s="53">
        <f t="shared" ref="G154:G217" si="30">(SUMIF($7:$7,F154,$8:$8)-SUMIF($7:$7,$F$24,$8:$8)+100)/100</f>
        <v>1</v>
      </c>
      <c r="H154" s="959"/>
      <c r="I154" s="53">
        <f t="shared" ref="I154:I217" si="31">(SUMIF($9:$9,H154,$10:$10)-SUMIF($9:$9,$H$24,$10:$10)+100)/100</f>
        <v>1</v>
      </c>
      <c r="J154" s="959"/>
      <c r="K154" s="53">
        <f t="shared" ref="K154:K217" si="32">(SUMIF($11:$11,J154,$12:$12)-SUMIF($11:$11,$J$24,$12:$12)+100)/100</f>
        <v>1</v>
      </c>
      <c r="L154" s="959"/>
      <c r="M154" s="53">
        <f t="shared" ref="M154:M217" si="33">(SUMIF($13:$13,L154,$14:$14)-SUMIF($13:$13,$L$24,$14:$14)+100)/100</f>
        <v>1</v>
      </c>
      <c r="N154" s="959"/>
      <c r="O154" s="53">
        <f t="shared" ref="O154:O217" si="34">(SUMIF($15:$15,N154,$16:$16)-SUMIF($15:$15,$N$24,$16:$16)+100)/100</f>
        <v>1</v>
      </c>
      <c r="P154" s="959"/>
      <c r="Q154" s="53">
        <f t="shared" ref="Q154:Q217" si="35">(SUMIF($17:$17,P154,$18:$18)-SUMIF($17:$17,$P$24,$18:$18)+100)/100</f>
        <v>1</v>
      </c>
      <c r="R154" s="487">
        <f t="shared" ref="R154:R217" si="36">IF(B154="",0,ROUND($R$24*C154*E154*G154*I154*K154*M154*O154*Q154,0))</f>
        <v>0</v>
      </c>
      <c r="S154" s="796">
        <f t="shared" si="27"/>
        <v>0</v>
      </c>
    </row>
    <row r="155" spans="1:19">
      <c r="A155" s="961"/>
      <c r="B155" s="137"/>
      <c r="C155" s="53">
        <f t="shared" si="28"/>
        <v>1</v>
      </c>
      <c r="D155" s="959"/>
      <c r="E155" s="53">
        <f t="shared" si="29"/>
        <v>1</v>
      </c>
      <c r="F155" s="959"/>
      <c r="G155" s="53">
        <f t="shared" si="30"/>
        <v>1</v>
      </c>
      <c r="H155" s="959"/>
      <c r="I155" s="53">
        <f t="shared" si="31"/>
        <v>1</v>
      </c>
      <c r="J155" s="959"/>
      <c r="K155" s="53">
        <f t="shared" si="32"/>
        <v>1</v>
      </c>
      <c r="L155" s="959"/>
      <c r="M155" s="53">
        <f t="shared" si="33"/>
        <v>1</v>
      </c>
      <c r="N155" s="959"/>
      <c r="O155" s="53">
        <f t="shared" si="34"/>
        <v>1</v>
      </c>
      <c r="P155" s="959"/>
      <c r="Q155" s="53">
        <f t="shared" si="35"/>
        <v>1</v>
      </c>
      <c r="R155" s="487">
        <f t="shared" si="36"/>
        <v>0</v>
      </c>
      <c r="S155" s="796">
        <f t="shared" si="27"/>
        <v>0</v>
      </c>
    </row>
    <row r="156" spans="1:19">
      <c r="A156" s="961"/>
      <c r="B156" s="137"/>
      <c r="C156" s="53">
        <f t="shared" si="28"/>
        <v>1</v>
      </c>
      <c r="D156" s="959"/>
      <c r="E156" s="53">
        <f t="shared" si="29"/>
        <v>1</v>
      </c>
      <c r="F156" s="959"/>
      <c r="G156" s="53">
        <f t="shared" si="30"/>
        <v>1</v>
      </c>
      <c r="H156" s="959"/>
      <c r="I156" s="53">
        <f t="shared" si="31"/>
        <v>1</v>
      </c>
      <c r="J156" s="959"/>
      <c r="K156" s="53">
        <f t="shared" si="32"/>
        <v>1</v>
      </c>
      <c r="L156" s="959"/>
      <c r="M156" s="53">
        <f t="shared" si="33"/>
        <v>1</v>
      </c>
      <c r="N156" s="959"/>
      <c r="O156" s="53">
        <f t="shared" si="34"/>
        <v>1</v>
      </c>
      <c r="P156" s="959"/>
      <c r="Q156" s="53">
        <f t="shared" si="35"/>
        <v>1</v>
      </c>
      <c r="R156" s="487">
        <f t="shared" si="36"/>
        <v>0</v>
      </c>
      <c r="S156" s="796">
        <f t="shared" si="27"/>
        <v>0</v>
      </c>
    </row>
    <row r="157" spans="1:19">
      <c r="A157" s="961"/>
      <c r="B157" s="137"/>
      <c r="C157" s="53">
        <f t="shared" si="28"/>
        <v>1</v>
      </c>
      <c r="D157" s="959"/>
      <c r="E157" s="53">
        <f t="shared" si="29"/>
        <v>1</v>
      </c>
      <c r="F157" s="959"/>
      <c r="G157" s="53">
        <f t="shared" si="30"/>
        <v>1</v>
      </c>
      <c r="H157" s="959"/>
      <c r="I157" s="53">
        <f t="shared" si="31"/>
        <v>1</v>
      </c>
      <c r="J157" s="959"/>
      <c r="K157" s="53">
        <f t="shared" si="32"/>
        <v>1</v>
      </c>
      <c r="L157" s="959"/>
      <c r="M157" s="53">
        <f t="shared" si="33"/>
        <v>1</v>
      </c>
      <c r="N157" s="959"/>
      <c r="O157" s="53">
        <f t="shared" si="34"/>
        <v>1</v>
      </c>
      <c r="P157" s="959"/>
      <c r="Q157" s="53">
        <f t="shared" si="35"/>
        <v>1</v>
      </c>
      <c r="R157" s="487">
        <f t="shared" si="36"/>
        <v>0</v>
      </c>
      <c r="S157" s="796">
        <f t="shared" si="27"/>
        <v>0</v>
      </c>
    </row>
    <row r="158" spans="1:19">
      <c r="A158" s="961"/>
      <c r="B158" s="137"/>
      <c r="C158" s="53">
        <f t="shared" si="28"/>
        <v>1</v>
      </c>
      <c r="D158" s="959"/>
      <c r="E158" s="53">
        <f t="shared" si="29"/>
        <v>1</v>
      </c>
      <c r="F158" s="959"/>
      <c r="G158" s="53">
        <f t="shared" si="30"/>
        <v>1</v>
      </c>
      <c r="H158" s="959"/>
      <c r="I158" s="53">
        <f t="shared" si="31"/>
        <v>1</v>
      </c>
      <c r="J158" s="959"/>
      <c r="K158" s="53">
        <f t="shared" si="32"/>
        <v>1</v>
      </c>
      <c r="L158" s="959"/>
      <c r="M158" s="53">
        <f t="shared" si="33"/>
        <v>1</v>
      </c>
      <c r="N158" s="959"/>
      <c r="O158" s="53">
        <f t="shared" si="34"/>
        <v>1</v>
      </c>
      <c r="P158" s="959"/>
      <c r="Q158" s="53">
        <f t="shared" si="35"/>
        <v>1</v>
      </c>
      <c r="R158" s="487">
        <f t="shared" si="36"/>
        <v>0</v>
      </c>
      <c r="S158" s="796">
        <f t="shared" si="27"/>
        <v>0</v>
      </c>
    </row>
    <row r="159" spans="1:19">
      <c r="A159" s="961"/>
      <c r="B159" s="137"/>
      <c r="C159" s="53">
        <f t="shared" si="28"/>
        <v>1</v>
      </c>
      <c r="D159" s="959"/>
      <c r="E159" s="53">
        <f t="shared" si="29"/>
        <v>1</v>
      </c>
      <c r="F159" s="959"/>
      <c r="G159" s="53">
        <f t="shared" si="30"/>
        <v>1</v>
      </c>
      <c r="H159" s="959"/>
      <c r="I159" s="53">
        <f t="shared" si="31"/>
        <v>1</v>
      </c>
      <c r="J159" s="959"/>
      <c r="K159" s="53">
        <f t="shared" si="32"/>
        <v>1</v>
      </c>
      <c r="L159" s="959"/>
      <c r="M159" s="53">
        <f t="shared" si="33"/>
        <v>1</v>
      </c>
      <c r="N159" s="959"/>
      <c r="O159" s="53">
        <f t="shared" si="34"/>
        <v>1</v>
      </c>
      <c r="P159" s="959"/>
      <c r="Q159" s="53">
        <f t="shared" si="35"/>
        <v>1</v>
      </c>
      <c r="R159" s="487">
        <f t="shared" si="36"/>
        <v>0</v>
      </c>
      <c r="S159" s="796">
        <f t="shared" si="27"/>
        <v>0</v>
      </c>
    </row>
    <row r="160" spans="1:19">
      <c r="A160" s="961"/>
      <c r="B160" s="137"/>
      <c r="C160" s="53">
        <f t="shared" si="28"/>
        <v>1</v>
      </c>
      <c r="D160" s="959"/>
      <c r="E160" s="53">
        <f t="shared" si="29"/>
        <v>1</v>
      </c>
      <c r="F160" s="959"/>
      <c r="G160" s="53">
        <f t="shared" si="30"/>
        <v>1</v>
      </c>
      <c r="H160" s="959"/>
      <c r="I160" s="53">
        <f t="shared" si="31"/>
        <v>1</v>
      </c>
      <c r="J160" s="959"/>
      <c r="K160" s="53">
        <f t="shared" si="32"/>
        <v>1</v>
      </c>
      <c r="L160" s="959"/>
      <c r="M160" s="53">
        <f t="shared" si="33"/>
        <v>1</v>
      </c>
      <c r="N160" s="959"/>
      <c r="O160" s="53">
        <f t="shared" si="34"/>
        <v>1</v>
      </c>
      <c r="P160" s="959"/>
      <c r="Q160" s="53">
        <f t="shared" si="35"/>
        <v>1</v>
      </c>
      <c r="R160" s="487">
        <f t="shared" si="36"/>
        <v>0</v>
      </c>
      <c r="S160" s="796">
        <f t="shared" si="27"/>
        <v>0</v>
      </c>
    </row>
    <row r="161" spans="1:19">
      <c r="A161" s="961"/>
      <c r="B161" s="137"/>
      <c r="C161" s="53">
        <f t="shared" si="28"/>
        <v>1</v>
      </c>
      <c r="D161" s="959"/>
      <c r="E161" s="53">
        <f t="shared" si="29"/>
        <v>1</v>
      </c>
      <c r="F161" s="959"/>
      <c r="G161" s="53">
        <f t="shared" si="30"/>
        <v>1</v>
      </c>
      <c r="H161" s="959"/>
      <c r="I161" s="53">
        <f t="shared" si="31"/>
        <v>1</v>
      </c>
      <c r="J161" s="959"/>
      <c r="K161" s="53">
        <f t="shared" si="32"/>
        <v>1</v>
      </c>
      <c r="L161" s="959"/>
      <c r="M161" s="53">
        <f t="shared" si="33"/>
        <v>1</v>
      </c>
      <c r="N161" s="959"/>
      <c r="O161" s="53">
        <f t="shared" si="34"/>
        <v>1</v>
      </c>
      <c r="P161" s="959"/>
      <c r="Q161" s="53">
        <f t="shared" si="35"/>
        <v>1</v>
      </c>
      <c r="R161" s="487">
        <f t="shared" si="36"/>
        <v>0</v>
      </c>
      <c r="S161" s="796">
        <f t="shared" si="27"/>
        <v>0</v>
      </c>
    </row>
    <row r="162" spans="1:19">
      <c r="A162" s="961"/>
      <c r="B162" s="137"/>
      <c r="C162" s="53">
        <f t="shared" si="28"/>
        <v>1</v>
      </c>
      <c r="D162" s="959"/>
      <c r="E162" s="53">
        <f t="shared" si="29"/>
        <v>1</v>
      </c>
      <c r="F162" s="959"/>
      <c r="G162" s="53">
        <f t="shared" si="30"/>
        <v>1</v>
      </c>
      <c r="H162" s="959"/>
      <c r="I162" s="53">
        <f t="shared" si="31"/>
        <v>1</v>
      </c>
      <c r="J162" s="959"/>
      <c r="K162" s="53">
        <f t="shared" si="32"/>
        <v>1</v>
      </c>
      <c r="L162" s="959"/>
      <c r="M162" s="53">
        <f t="shared" si="33"/>
        <v>1</v>
      </c>
      <c r="N162" s="959"/>
      <c r="O162" s="53">
        <f t="shared" si="34"/>
        <v>1</v>
      </c>
      <c r="P162" s="959"/>
      <c r="Q162" s="53">
        <f t="shared" si="35"/>
        <v>1</v>
      </c>
      <c r="R162" s="487">
        <f t="shared" si="36"/>
        <v>0</v>
      </c>
      <c r="S162" s="796">
        <f t="shared" si="27"/>
        <v>0</v>
      </c>
    </row>
    <row r="163" spans="1:19">
      <c r="A163" s="961"/>
      <c r="B163" s="137"/>
      <c r="C163" s="53">
        <f t="shared" si="28"/>
        <v>1</v>
      </c>
      <c r="D163" s="959"/>
      <c r="E163" s="53">
        <f t="shared" si="29"/>
        <v>1</v>
      </c>
      <c r="F163" s="959"/>
      <c r="G163" s="53">
        <f t="shared" si="30"/>
        <v>1</v>
      </c>
      <c r="H163" s="959"/>
      <c r="I163" s="53">
        <f t="shared" si="31"/>
        <v>1</v>
      </c>
      <c r="J163" s="959"/>
      <c r="K163" s="53">
        <f t="shared" si="32"/>
        <v>1</v>
      </c>
      <c r="L163" s="959"/>
      <c r="M163" s="53">
        <f t="shared" si="33"/>
        <v>1</v>
      </c>
      <c r="N163" s="959"/>
      <c r="O163" s="53">
        <f t="shared" si="34"/>
        <v>1</v>
      </c>
      <c r="P163" s="959"/>
      <c r="Q163" s="53">
        <f t="shared" si="35"/>
        <v>1</v>
      </c>
      <c r="R163" s="487">
        <f t="shared" si="36"/>
        <v>0</v>
      </c>
      <c r="S163" s="796">
        <f t="shared" si="27"/>
        <v>0</v>
      </c>
    </row>
    <row r="164" spans="1:19">
      <c r="A164" s="961"/>
      <c r="B164" s="137"/>
      <c r="C164" s="53">
        <f t="shared" si="28"/>
        <v>1</v>
      </c>
      <c r="D164" s="959"/>
      <c r="E164" s="53">
        <f t="shared" si="29"/>
        <v>1</v>
      </c>
      <c r="F164" s="959"/>
      <c r="G164" s="53">
        <f t="shared" si="30"/>
        <v>1</v>
      </c>
      <c r="H164" s="959"/>
      <c r="I164" s="53">
        <f t="shared" si="31"/>
        <v>1</v>
      </c>
      <c r="J164" s="959"/>
      <c r="K164" s="53">
        <f t="shared" si="32"/>
        <v>1</v>
      </c>
      <c r="L164" s="959"/>
      <c r="M164" s="53">
        <f t="shared" si="33"/>
        <v>1</v>
      </c>
      <c r="N164" s="959"/>
      <c r="O164" s="53">
        <f t="shared" si="34"/>
        <v>1</v>
      </c>
      <c r="P164" s="959"/>
      <c r="Q164" s="53">
        <f t="shared" si="35"/>
        <v>1</v>
      </c>
      <c r="R164" s="487">
        <f t="shared" si="36"/>
        <v>0</v>
      </c>
      <c r="S164" s="796">
        <f t="shared" si="27"/>
        <v>0</v>
      </c>
    </row>
    <row r="165" spans="1:19">
      <c r="A165" s="961"/>
      <c r="B165" s="137"/>
      <c r="C165" s="53">
        <f t="shared" si="28"/>
        <v>1</v>
      </c>
      <c r="D165" s="959"/>
      <c r="E165" s="53">
        <f t="shared" si="29"/>
        <v>1</v>
      </c>
      <c r="F165" s="959"/>
      <c r="G165" s="53">
        <f t="shared" si="30"/>
        <v>1</v>
      </c>
      <c r="H165" s="959"/>
      <c r="I165" s="53">
        <f t="shared" si="31"/>
        <v>1</v>
      </c>
      <c r="J165" s="959"/>
      <c r="K165" s="53">
        <f t="shared" si="32"/>
        <v>1</v>
      </c>
      <c r="L165" s="959"/>
      <c r="M165" s="53">
        <f t="shared" si="33"/>
        <v>1</v>
      </c>
      <c r="N165" s="959"/>
      <c r="O165" s="53">
        <f t="shared" si="34"/>
        <v>1</v>
      </c>
      <c r="P165" s="959"/>
      <c r="Q165" s="53">
        <f t="shared" si="35"/>
        <v>1</v>
      </c>
      <c r="R165" s="487">
        <f t="shared" si="36"/>
        <v>0</v>
      </c>
      <c r="S165" s="796">
        <f t="shared" si="27"/>
        <v>0</v>
      </c>
    </row>
    <row r="166" spans="1:19">
      <c r="A166" s="961"/>
      <c r="B166" s="137"/>
      <c r="C166" s="53">
        <f t="shared" si="28"/>
        <v>1</v>
      </c>
      <c r="D166" s="959"/>
      <c r="E166" s="53">
        <f t="shared" si="29"/>
        <v>1</v>
      </c>
      <c r="F166" s="959"/>
      <c r="G166" s="53">
        <f t="shared" si="30"/>
        <v>1</v>
      </c>
      <c r="H166" s="959"/>
      <c r="I166" s="53">
        <f t="shared" si="31"/>
        <v>1</v>
      </c>
      <c r="J166" s="959"/>
      <c r="K166" s="53">
        <f t="shared" si="32"/>
        <v>1</v>
      </c>
      <c r="L166" s="959"/>
      <c r="M166" s="53">
        <f t="shared" si="33"/>
        <v>1</v>
      </c>
      <c r="N166" s="959"/>
      <c r="O166" s="53">
        <f t="shared" si="34"/>
        <v>1</v>
      </c>
      <c r="P166" s="959"/>
      <c r="Q166" s="53">
        <f t="shared" si="35"/>
        <v>1</v>
      </c>
      <c r="R166" s="487">
        <f t="shared" si="36"/>
        <v>0</v>
      </c>
      <c r="S166" s="796">
        <f t="shared" si="27"/>
        <v>0</v>
      </c>
    </row>
    <row r="167" spans="1:19">
      <c r="A167" s="961"/>
      <c r="B167" s="137"/>
      <c r="C167" s="53">
        <f t="shared" si="28"/>
        <v>1</v>
      </c>
      <c r="D167" s="959"/>
      <c r="E167" s="53">
        <f t="shared" si="29"/>
        <v>1</v>
      </c>
      <c r="F167" s="959"/>
      <c r="G167" s="53">
        <f t="shared" si="30"/>
        <v>1</v>
      </c>
      <c r="H167" s="959"/>
      <c r="I167" s="53">
        <f t="shared" si="31"/>
        <v>1</v>
      </c>
      <c r="J167" s="959"/>
      <c r="K167" s="53">
        <f t="shared" si="32"/>
        <v>1</v>
      </c>
      <c r="L167" s="959"/>
      <c r="M167" s="53">
        <f t="shared" si="33"/>
        <v>1</v>
      </c>
      <c r="N167" s="959"/>
      <c r="O167" s="53">
        <f t="shared" si="34"/>
        <v>1</v>
      </c>
      <c r="P167" s="959"/>
      <c r="Q167" s="53">
        <f t="shared" si="35"/>
        <v>1</v>
      </c>
      <c r="R167" s="487">
        <f t="shared" si="36"/>
        <v>0</v>
      </c>
      <c r="S167" s="796">
        <f t="shared" si="27"/>
        <v>0</v>
      </c>
    </row>
    <row r="168" spans="1:19">
      <c r="A168" s="961"/>
      <c r="B168" s="137"/>
      <c r="C168" s="53">
        <f t="shared" si="28"/>
        <v>1</v>
      </c>
      <c r="D168" s="959"/>
      <c r="E168" s="53">
        <f t="shared" si="29"/>
        <v>1</v>
      </c>
      <c r="F168" s="959"/>
      <c r="G168" s="53">
        <f t="shared" si="30"/>
        <v>1</v>
      </c>
      <c r="H168" s="959"/>
      <c r="I168" s="53">
        <f t="shared" si="31"/>
        <v>1</v>
      </c>
      <c r="J168" s="959"/>
      <c r="K168" s="53">
        <f t="shared" si="32"/>
        <v>1</v>
      </c>
      <c r="L168" s="959"/>
      <c r="M168" s="53">
        <f t="shared" si="33"/>
        <v>1</v>
      </c>
      <c r="N168" s="959"/>
      <c r="O168" s="53">
        <f t="shared" si="34"/>
        <v>1</v>
      </c>
      <c r="P168" s="959"/>
      <c r="Q168" s="53">
        <f t="shared" si="35"/>
        <v>1</v>
      </c>
      <c r="R168" s="487">
        <f t="shared" si="36"/>
        <v>0</v>
      </c>
      <c r="S168" s="796">
        <f t="shared" si="27"/>
        <v>0</v>
      </c>
    </row>
    <row r="169" spans="1:19">
      <c r="A169" s="961"/>
      <c r="B169" s="137"/>
      <c r="C169" s="53">
        <f t="shared" si="28"/>
        <v>1</v>
      </c>
      <c r="D169" s="959"/>
      <c r="E169" s="53">
        <f t="shared" si="29"/>
        <v>1</v>
      </c>
      <c r="F169" s="959"/>
      <c r="G169" s="53">
        <f t="shared" si="30"/>
        <v>1</v>
      </c>
      <c r="H169" s="959"/>
      <c r="I169" s="53">
        <f t="shared" si="31"/>
        <v>1</v>
      </c>
      <c r="J169" s="959"/>
      <c r="K169" s="53">
        <f t="shared" si="32"/>
        <v>1</v>
      </c>
      <c r="L169" s="959"/>
      <c r="M169" s="53">
        <f t="shared" si="33"/>
        <v>1</v>
      </c>
      <c r="N169" s="959"/>
      <c r="O169" s="53">
        <f t="shared" si="34"/>
        <v>1</v>
      </c>
      <c r="P169" s="959"/>
      <c r="Q169" s="53">
        <f t="shared" si="35"/>
        <v>1</v>
      </c>
      <c r="R169" s="487">
        <f t="shared" si="36"/>
        <v>0</v>
      </c>
      <c r="S169" s="796">
        <f t="shared" si="27"/>
        <v>0</v>
      </c>
    </row>
    <row r="170" spans="1:19">
      <c r="A170" s="961"/>
      <c r="B170" s="137"/>
      <c r="C170" s="53">
        <f t="shared" si="28"/>
        <v>1</v>
      </c>
      <c r="D170" s="959"/>
      <c r="E170" s="53">
        <f t="shared" si="29"/>
        <v>1</v>
      </c>
      <c r="F170" s="959"/>
      <c r="G170" s="53">
        <f t="shared" si="30"/>
        <v>1</v>
      </c>
      <c r="H170" s="959"/>
      <c r="I170" s="53">
        <f t="shared" si="31"/>
        <v>1</v>
      </c>
      <c r="J170" s="959"/>
      <c r="K170" s="53">
        <f t="shared" si="32"/>
        <v>1</v>
      </c>
      <c r="L170" s="959"/>
      <c r="M170" s="53">
        <f t="shared" si="33"/>
        <v>1</v>
      </c>
      <c r="N170" s="959"/>
      <c r="O170" s="53">
        <f t="shared" si="34"/>
        <v>1</v>
      </c>
      <c r="P170" s="959"/>
      <c r="Q170" s="53">
        <f t="shared" si="35"/>
        <v>1</v>
      </c>
      <c r="R170" s="487">
        <f t="shared" si="36"/>
        <v>0</v>
      </c>
      <c r="S170" s="796">
        <f t="shared" si="27"/>
        <v>0</v>
      </c>
    </row>
    <row r="171" spans="1:19">
      <c r="A171" s="961"/>
      <c r="B171" s="137"/>
      <c r="C171" s="53">
        <f t="shared" si="28"/>
        <v>1</v>
      </c>
      <c r="D171" s="959"/>
      <c r="E171" s="53">
        <f t="shared" si="29"/>
        <v>1</v>
      </c>
      <c r="F171" s="959"/>
      <c r="G171" s="53">
        <f t="shared" si="30"/>
        <v>1</v>
      </c>
      <c r="H171" s="959"/>
      <c r="I171" s="53">
        <f t="shared" si="31"/>
        <v>1</v>
      </c>
      <c r="J171" s="959"/>
      <c r="K171" s="53">
        <f t="shared" si="32"/>
        <v>1</v>
      </c>
      <c r="L171" s="959"/>
      <c r="M171" s="53">
        <f t="shared" si="33"/>
        <v>1</v>
      </c>
      <c r="N171" s="959"/>
      <c r="O171" s="53">
        <f t="shared" si="34"/>
        <v>1</v>
      </c>
      <c r="P171" s="959"/>
      <c r="Q171" s="53">
        <f t="shared" si="35"/>
        <v>1</v>
      </c>
      <c r="R171" s="487">
        <f t="shared" si="36"/>
        <v>0</v>
      </c>
      <c r="S171" s="796">
        <f t="shared" si="27"/>
        <v>0</v>
      </c>
    </row>
    <row r="172" spans="1:19">
      <c r="A172" s="961"/>
      <c r="B172" s="137"/>
      <c r="C172" s="53">
        <f t="shared" si="28"/>
        <v>1</v>
      </c>
      <c r="D172" s="959"/>
      <c r="E172" s="53">
        <f t="shared" si="29"/>
        <v>1</v>
      </c>
      <c r="F172" s="959"/>
      <c r="G172" s="53">
        <f t="shared" si="30"/>
        <v>1</v>
      </c>
      <c r="H172" s="959"/>
      <c r="I172" s="53">
        <f t="shared" si="31"/>
        <v>1</v>
      </c>
      <c r="J172" s="959"/>
      <c r="K172" s="53">
        <f t="shared" si="32"/>
        <v>1</v>
      </c>
      <c r="L172" s="959"/>
      <c r="M172" s="53">
        <f t="shared" si="33"/>
        <v>1</v>
      </c>
      <c r="N172" s="959"/>
      <c r="O172" s="53">
        <f t="shared" si="34"/>
        <v>1</v>
      </c>
      <c r="P172" s="959"/>
      <c r="Q172" s="53">
        <f t="shared" si="35"/>
        <v>1</v>
      </c>
      <c r="R172" s="487">
        <f t="shared" si="36"/>
        <v>0</v>
      </c>
      <c r="S172" s="796">
        <f t="shared" si="27"/>
        <v>0</v>
      </c>
    </row>
    <row r="173" spans="1:19">
      <c r="A173" s="961"/>
      <c r="B173" s="137"/>
      <c r="C173" s="53">
        <f t="shared" si="28"/>
        <v>1</v>
      </c>
      <c r="D173" s="959"/>
      <c r="E173" s="53">
        <f t="shared" si="29"/>
        <v>1</v>
      </c>
      <c r="F173" s="959"/>
      <c r="G173" s="53">
        <f t="shared" si="30"/>
        <v>1</v>
      </c>
      <c r="H173" s="959"/>
      <c r="I173" s="53">
        <f t="shared" si="31"/>
        <v>1</v>
      </c>
      <c r="J173" s="959"/>
      <c r="K173" s="53">
        <f t="shared" si="32"/>
        <v>1</v>
      </c>
      <c r="L173" s="959"/>
      <c r="M173" s="53">
        <f t="shared" si="33"/>
        <v>1</v>
      </c>
      <c r="N173" s="959"/>
      <c r="O173" s="53">
        <f t="shared" si="34"/>
        <v>1</v>
      </c>
      <c r="P173" s="959"/>
      <c r="Q173" s="53">
        <f t="shared" si="35"/>
        <v>1</v>
      </c>
      <c r="R173" s="487">
        <f t="shared" si="36"/>
        <v>0</v>
      </c>
      <c r="S173" s="796">
        <f t="shared" si="27"/>
        <v>0</v>
      </c>
    </row>
    <row r="174" spans="1:19">
      <c r="A174" s="961"/>
      <c r="B174" s="137"/>
      <c r="C174" s="53">
        <f t="shared" si="28"/>
        <v>1</v>
      </c>
      <c r="D174" s="959"/>
      <c r="E174" s="53">
        <f t="shared" si="29"/>
        <v>1</v>
      </c>
      <c r="F174" s="959"/>
      <c r="G174" s="53">
        <f t="shared" si="30"/>
        <v>1</v>
      </c>
      <c r="H174" s="959"/>
      <c r="I174" s="53">
        <f t="shared" si="31"/>
        <v>1</v>
      </c>
      <c r="J174" s="959"/>
      <c r="K174" s="53">
        <f t="shared" si="32"/>
        <v>1</v>
      </c>
      <c r="L174" s="959"/>
      <c r="M174" s="53">
        <f t="shared" si="33"/>
        <v>1</v>
      </c>
      <c r="N174" s="959"/>
      <c r="O174" s="53">
        <f t="shared" si="34"/>
        <v>1</v>
      </c>
      <c r="P174" s="959"/>
      <c r="Q174" s="53">
        <f t="shared" si="35"/>
        <v>1</v>
      </c>
      <c r="R174" s="487">
        <f t="shared" si="36"/>
        <v>0</v>
      </c>
      <c r="S174" s="796">
        <f t="shared" si="27"/>
        <v>0</v>
      </c>
    </row>
    <row r="175" spans="1:19">
      <c r="A175" s="961"/>
      <c r="B175" s="137"/>
      <c r="C175" s="53">
        <f t="shared" si="28"/>
        <v>1</v>
      </c>
      <c r="D175" s="959"/>
      <c r="E175" s="53">
        <f t="shared" si="29"/>
        <v>1</v>
      </c>
      <c r="F175" s="959"/>
      <c r="G175" s="53">
        <f t="shared" si="30"/>
        <v>1</v>
      </c>
      <c r="H175" s="959"/>
      <c r="I175" s="53">
        <f t="shared" si="31"/>
        <v>1</v>
      </c>
      <c r="J175" s="959"/>
      <c r="K175" s="53">
        <f t="shared" si="32"/>
        <v>1</v>
      </c>
      <c r="L175" s="959"/>
      <c r="M175" s="53">
        <f t="shared" si="33"/>
        <v>1</v>
      </c>
      <c r="N175" s="959"/>
      <c r="O175" s="53">
        <f t="shared" si="34"/>
        <v>1</v>
      </c>
      <c r="P175" s="959"/>
      <c r="Q175" s="53">
        <f t="shared" si="35"/>
        <v>1</v>
      </c>
      <c r="R175" s="487">
        <f t="shared" si="36"/>
        <v>0</v>
      </c>
      <c r="S175" s="796">
        <f t="shared" si="27"/>
        <v>0</v>
      </c>
    </row>
    <row r="176" spans="1:19">
      <c r="A176" s="961"/>
      <c r="B176" s="137"/>
      <c r="C176" s="53">
        <f t="shared" si="28"/>
        <v>1</v>
      </c>
      <c r="D176" s="959"/>
      <c r="E176" s="53">
        <f t="shared" si="29"/>
        <v>1</v>
      </c>
      <c r="F176" s="959"/>
      <c r="G176" s="53">
        <f t="shared" si="30"/>
        <v>1</v>
      </c>
      <c r="H176" s="959"/>
      <c r="I176" s="53">
        <f t="shared" si="31"/>
        <v>1</v>
      </c>
      <c r="J176" s="959"/>
      <c r="K176" s="53">
        <f t="shared" si="32"/>
        <v>1</v>
      </c>
      <c r="L176" s="959"/>
      <c r="M176" s="53">
        <f t="shared" si="33"/>
        <v>1</v>
      </c>
      <c r="N176" s="959"/>
      <c r="O176" s="53">
        <f t="shared" si="34"/>
        <v>1</v>
      </c>
      <c r="P176" s="959"/>
      <c r="Q176" s="53">
        <f t="shared" si="35"/>
        <v>1</v>
      </c>
      <c r="R176" s="487">
        <f t="shared" si="36"/>
        <v>0</v>
      </c>
      <c r="S176" s="796">
        <f t="shared" si="27"/>
        <v>0</v>
      </c>
    </row>
    <row r="177" spans="1:19">
      <c r="A177" s="961"/>
      <c r="B177" s="137"/>
      <c r="C177" s="53">
        <f t="shared" si="28"/>
        <v>1</v>
      </c>
      <c r="D177" s="959"/>
      <c r="E177" s="53">
        <f t="shared" si="29"/>
        <v>1</v>
      </c>
      <c r="F177" s="959"/>
      <c r="G177" s="53">
        <f t="shared" si="30"/>
        <v>1</v>
      </c>
      <c r="H177" s="959"/>
      <c r="I177" s="53">
        <f t="shared" si="31"/>
        <v>1</v>
      </c>
      <c r="J177" s="959"/>
      <c r="K177" s="53">
        <f t="shared" si="32"/>
        <v>1</v>
      </c>
      <c r="L177" s="959"/>
      <c r="M177" s="53">
        <f t="shared" si="33"/>
        <v>1</v>
      </c>
      <c r="N177" s="959"/>
      <c r="O177" s="53">
        <f t="shared" si="34"/>
        <v>1</v>
      </c>
      <c r="P177" s="959"/>
      <c r="Q177" s="53">
        <f t="shared" si="35"/>
        <v>1</v>
      </c>
      <c r="R177" s="487">
        <f t="shared" si="36"/>
        <v>0</v>
      </c>
      <c r="S177" s="796">
        <f t="shared" si="27"/>
        <v>0</v>
      </c>
    </row>
    <row r="178" spans="1:19">
      <c r="A178" s="961"/>
      <c r="B178" s="137"/>
      <c r="C178" s="53">
        <f t="shared" si="28"/>
        <v>1</v>
      </c>
      <c r="D178" s="959"/>
      <c r="E178" s="53">
        <f t="shared" si="29"/>
        <v>1</v>
      </c>
      <c r="F178" s="959"/>
      <c r="G178" s="53">
        <f t="shared" si="30"/>
        <v>1</v>
      </c>
      <c r="H178" s="959"/>
      <c r="I178" s="53">
        <f t="shared" si="31"/>
        <v>1</v>
      </c>
      <c r="J178" s="959"/>
      <c r="K178" s="53">
        <f t="shared" si="32"/>
        <v>1</v>
      </c>
      <c r="L178" s="959"/>
      <c r="M178" s="53">
        <f t="shared" si="33"/>
        <v>1</v>
      </c>
      <c r="N178" s="959"/>
      <c r="O178" s="53">
        <f t="shared" si="34"/>
        <v>1</v>
      </c>
      <c r="P178" s="959"/>
      <c r="Q178" s="53">
        <f t="shared" si="35"/>
        <v>1</v>
      </c>
      <c r="R178" s="487">
        <f t="shared" si="36"/>
        <v>0</v>
      </c>
      <c r="S178" s="796">
        <f t="shared" si="27"/>
        <v>0</v>
      </c>
    </row>
    <row r="179" spans="1:19">
      <c r="A179" s="961"/>
      <c r="B179" s="137"/>
      <c r="C179" s="53">
        <f t="shared" si="28"/>
        <v>1</v>
      </c>
      <c r="D179" s="959"/>
      <c r="E179" s="53">
        <f t="shared" si="29"/>
        <v>1</v>
      </c>
      <c r="F179" s="959"/>
      <c r="G179" s="53">
        <f t="shared" si="30"/>
        <v>1</v>
      </c>
      <c r="H179" s="959"/>
      <c r="I179" s="53">
        <f t="shared" si="31"/>
        <v>1</v>
      </c>
      <c r="J179" s="959"/>
      <c r="K179" s="53">
        <f t="shared" si="32"/>
        <v>1</v>
      </c>
      <c r="L179" s="959"/>
      <c r="M179" s="53">
        <f t="shared" si="33"/>
        <v>1</v>
      </c>
      <c r="N179" s="959"/>
      <c r="O179" s="53">
        <f t="shared" si="34"/>
        <v>1</v>
      </c>
      <c r="P179" s="959"/>
      <c r="Q179" s="53">
        <f t="shared" si="35"/>
        <v>1</v>
      </c>
      <c r="R179" s="487">
        <f t="shared" si="36"/>
        <v>0</v>
      </c>
      <c r="S179" s="796">
        <f t="shared" si="27"/>
        <v>0</v>
      </c>
    </row>
    <row r="180" spans="1:19">
      <c r="A180" s="961"/>
      <c r="B180" s="137"/>
      <c r="C180" s="53">
        <f t="shared" si="28"/>
        <v>1</v>
      </c>
      <c r="D180" s="959"/>
      <c r="E180" s="53">
        <f t="shared" si="29"/>
        <v>1</v>
      </c>
      <c r="F180" s="959"/>
      <c r="G180" s="53">
        <f t="shared" si="30"/>
        <v>1</v>
      </c>
      <c r="H180" s="959"/>
      <c r="I180" s="53">
        <f t="shared" si="31"/>
        <v>1</v>
      </c>
      <c r="J180" s="959"/>
      <c r="K180" s="53">
        <f t="shared" si="32"/>
        <v>1</v>
      </c>
      <c r="L180" s="959"/>
      <c r="M180" s="53">
        <f t="shared" si="33"/>
        <v>1</v>
      </c>
      <c r="N180" s="959"/>
      <c r="O180" s="53">
        <f t="shared" si="34"/>
        <v>1</v>
      </c>
      <c r="P180" s="959"/>
      <c r="Q180" s="53">
        <f t="shared" si="35"/>
        <v>1</v>
      </c>
      <c r="R180" s="487">
        <f t="shared" si="36"/>
        <v>0</v>
      </c>
      <c r="S180" s="796">
        <f t="shared" si="27"/>
        <v>0</v>
      </c>
    </row>
    <row r="181" spans="1:19">
      <c r="A181" s="961"/>
      <c r="B181" s="137"/>
      <c r="C181" s="53">
        <f t="shared" si="28"/>
        <v>1</v>
      </c>
      <c r="D181" s="959"/>
      <c r="E181" s="53">
        <f t="shared" si="29"/>
        <v>1</v>
      </c>
      <c r="F181" s="959"/>
      <c r="G181" s="53">
        <f t="shared" si="30"/>
        <v>1</v>
      </c>
      <c r="H181" s="959"/>
      <c r="I181" s="53">
        <f t="shared" si="31"/>
        <v>1</v>
      </c>
      <c r="J181" s="959"/>
      <c r="K181" s="53">
        <f t="shared" si="32"/>
        <v>1</v>
      </c>
      <c r="L181" s="959"/>
      <c r="M181" s="53">
        <f t="shared" si="33"/>
        <v>1</v>
      </c>
      <c r="N181" s="959"/>
      <c r="O181" s="53">
        <f t="shared" si="34"/>
        <v>1</v>
      </c>
      <c r="P181" s="959"/>
      <c r="Q181" s="53">
        <f t="shared" si="35"/>
        <v>1</v>
      </c>
      <c r="R181" s="487">
        <f t="shared" si="36"/>
        <v>0</v>
      </c>
      <c r="S181" s="796">
        <f t="shared" si="27"/>
        <v>0</v>
      </c>
    </row>
    <row r="182" spans="1:19">
      <c r="A182" s="961"/>
      <c r="B182" s="137"/>
      <c r="C182" s="53">
        <f t="shared" si="28"/>
        <v>1</v>
      </c>
      <c r="D182" s="959"/>
      <c r="E182" s="53">
        <f t="shared" si="29"/>
        <v>1</v>
      </c>
      <c r="F182" s="959"/>
      <c r="G182" s="53">
        <f t="shared" si="30"/>
        <v>1</v>
      </c>
      <c r="H182" s="959"/>
      <c r="I182" s="53">
        <f t="shared" si="31"/>
        <v>1</v>
      </c>
      <c r="J182" s="959"/>
      <c r="K182" s="53">
        <f t="shared" si="32"/>
        <v>1</v>
      </c>
      <c r="L182" s="959"/>
      <c r="M182" s="53">
        <f t="shared" si="33"/>
        <v>1</v>
      </c>
      <c r="N182" s="959"/>
      <c r="O182" s="53">
        <f t="shared" si="34"/>
        <v>1</v>
      </c>
      <c r="P182" s="959"/>
      <c r="Q182" s="53">
        <f t="shared" si="35"/>
        <v>1</v>
      </c>
      <c r="R182" s="487">
        <f t="shared" si="36"/>
        <v>0</v>
      </c>
      <c r="S182" s="796">
        <f t="shared" si="27"/>
        <v>0</v>
      </c>
    </row>
    <row r="183" spans="1:19">
      <c r="A183" s="961"/>
      <c r="B183" s="137"/>
      <c r="C183" s="53">
        <f t="shared" si="28"/>
        <v>1</v>
      </c>
      <c r="D183" s="959"/>
      <c r="E183" s="53">
        <f t="shared" si="29"/>
        <v>1</v>
      </c>
      <c r="F183" s="959"/>
      <c r="G183" s="53">
        <f t="shared" si="30"/>
        <v>1</v>
      </c>
      <c r="H183" s="959"/>
      <c r="I183" s="53">
        <f t="shared" si="31"/>
        <v>1</v>
      </c>
      <c r="J183" s="959"/>
      <c r="K183" s="53">
        <f t="shared" si="32"/>
        <v>1</v>
      </c>
      <c r="L183" s="959"/>
      <c r="M183" s="53">
        <f t="shared" si="33"/>
        <v>1</v>
      </c>
      <c r="N183" s="959"/>
      <c r="O183" s="53">
        <f t="shared" si="34"/>
        <v>1</v>
      </c>
      <c r="P183" s="959"/>
      <c r="Q183" s="53">
        <f t="shared" si="35"/>
        <v>1</v>
      </c>
      <c r="R183" s="487">
        <f t="shared" si="36"/>
        <v>0</v>
      </c>
      <c r="S183" s="796">
        <f t="shared" si="27"/>
        <v>0</v>
      </c>
    </row>
    <row r="184" spans="1:19">
      <c r="A184" s="961"/>
      <c r="B184" s="137"/>
      <c r="C184" s="53">
        <f t="shared" si="28"/>
        <v>1</v>
      </c>
      <c r="D184" s="959"/>
      <c r="E184" s="53">
        <f t="shared" si="29"/>
        <v>1</v>
      </c>
      <c r="F184" s="959"/>
      <c r="G184" s="53">
        <f t="shared" si="30"/>
        <v>1</v>
      </c>
      <c r="H184" s="959"/>
      <c r="I184" s="53">
        <f t="shared" si="31"/>
        <v>1</v>
      </c>
      <c r="J184" s="959"/>
      <c r="K184" s="53">
        <f t="shared" si="32"/>
        <v>1</v>
      </c>
      <c r="L184" s="959"/>
      <c r="M184" s="53">
        <f t="shared" si="33"/>
        <v>1</v>
      </c>
      <c r="N184" s="959"/>
      <c r="O184" s="53">
        <f t="shared" si="34"/>
        <v>1</v>
      </c>
      <c r="P184" s="959"/>
      <c r="Q184" s="53">
        <f t="shared" si="35"/>
        <v>1</v>
      </c>
      <c r="R184" s="487">
        <f t="shared" si="36"/>
        <v>0</v>
      </c>
      <c r="S184" s="796">
        <f t="shared" si="27"/>
        <v>0</v>
      </c>
    </row>
    <row r="185" spans="1:19">
      <c r="A185" s="961"/>
      <c r="B185" s="137"/>
      <c r="C185" s="53">
        <f t="shared" si="28"/>
        <v>1</v>
      </c>
      <c r="D185" s="959"/>
      <c r="E185" s="53">
        <f t="shared" si="29"/>
        <v>1</v>
      </c>
      <c r="F185" s="959"/>
      <c r="G185" s="53">
        <f t="shared" si="30"/>
        <v>1</v>
      </c>
      <c r="H185" s="959"/>
      <c r="I185" s="53">
        <f t="shared" si="31"/>
        <v>1</v>
      </c>
      <c r="J185" s="959"/>
      <c r="K185" s="53">
        <f t="shared" si="32"/>
        <v>1</v>
      </c>
      <c r="L185" s="959"/>
      <c r="M185" s="53">
        <f t="shared" si="33"/>
        <v>1</v>
      </c>
      <c r="N185" s="959"/>
      <c r="O185" s="53">
        <f t="shared" si="34"/>
        <v>1</v>
      </c>
      <c r="P185" s="959"/>
      <c r="Q185" s="53">
        <f t="shared" si="35"/>
        <v>1</v>
      </c>
      <c r="R185" s="487">
        <f t="shared" si="36"/>
        <v>0</v>
      </c>
      <c r="S185" s="796">
        <f t="shared" si="27"/>
        <v>0</v>
      </c>
    </row>
    <row r="186" spans="1:19">
      <c r="A186" s="961"/>
      <c r="B186" s="137"/>
      <c r="C186" s="53">
        <f t="shared" si="28"/>
        <v>1</v>
      </c>
      <c r="D186" s="959"/>
      <c r="E186" s="53">
        <f t="shared" si="29"/>
        <v>1</v>
      </c>
      <c r="F186" s="959"/>
      <c r="G186" s="53">
        <f t="shared" si="30"/>
        <v>1</v>
      </c>
      <c r="H186" s="959"/>
      <c r="I186" s="53">
        <f t="shared" si="31"/>
        <v>1</v>
      </c>
      <c r="J186" s="959"/>
      <c r="K186" s="53">
        <f t="shared" si="32"/>
        <v>1</v>
      </c>
      <c r="L186" s="959"/>
      <c r="M186" s="53">
        <f t="shared" si="33"/>
        <v>1</v>
      </c>
      <c r="N186" s="959"/>
      <c r="O186" s="53">
        <f t="shared" si="34"/>
        <v>1</v>
      </c>
      <c r="P186" s="959"/>
      <c r="Q186" s="53">
        <f t="shared" si="35"/>
        <v>1</v>
      </c>
      <c r="R186" s="487">
        <f t="shared" si="36"/>
        <v>0</v>
      </c>
      <c r="S186" s="796">
        <f t="shared" si="27"/>
        <v>0</v>
      </c>
    </row>
    <row r="187" spans="1:19">
      <c r="A187" s="961"/>
      <c r="B187" s="137"/>
      <c r="C187" s="53">
        <f t="shared" si="28"/>
        <v>1</v>
      </c>
      <c r="D187" s="959"/>
      <c r="E187" s="53">
        <f t="shared" si="29"/>
        <v>1</v>
      </c>
      <c r="F187" s="959"/>
      <c r="G187" s="53">
        <f t="shared" si="30"/>
        <v>1</v>
      </c>
      <c r="H187" s="959"/>
      <c r="I187" s="53">
        <f t="shared" si="31"/>
        <v>1</v>
      </c>
      <c r="J187" s="959"/>
      <c r="K187" s="53">
        <f t="shared" si="32"/>
        <v>1</v>
      </c>
      <c r="L187" s="959"/>
      <c r="M187" s="53">
        <f t="shared" si="33"/>
        <v>1</v>
      </c>
      <c r="N187" s="959"/>
      <c r="O187" s="53">
        <f t="shared" si="34"/>
        <v>1</v>
      </c>
      <c r="P187" s="959"/>
      <c r="Q187" s="53">
        <f t="shared" si="35"/>
        <v>1</v>
      </c>
      <c r="R187" s="487">
        <f t="shared" si="36"/>
        <v>0</v>
      </c>
      <c r="S187" s="796">
        <f t="shared" ref="S187:S222" si="37">ROUND(R187*B187/10000,0)</f>
        <v>0</v>
      </c>
    </row>
    <row r="188" spans="1:19">
      <c r="A188" s="961"/>
      <c r="B188" s="137"/>
      <c r="C188" s="53">
        <f t="shared" si="28"/>
        <v>1</v>
      </c>
      <c r="D188" s="959"/>
      <c r="E188" s="53">
        <f t="shared" si="29"/>
        <v>1</v>
      </c>
      <c r="F188" s="959"/>
      <c r="G188" s="53">
        <f t="shared" si="30"/>
        <v>1</v>
      </c>
      <c r="H188" s="959"/>
      <c r="I188" s="53">
        <f t="shared" si="31"/>
        <v>1</v>
      </c>
      <c r="J188" s="959"/>
      <c r="K188" s="53">
        <f t="shared" si="32"/>
        <v>1</v>
      </c>
      <c r="L188" s="959"/>
      <c r="M188" s="53">
        <f t="shared" si="33"/>
        <v>1</v>
      </c>
      <c r="N188" s="959"/>
      <c r="O188" s="53">
        <f t="shared" si="34"/>
        <v>1</v>
      </c>
      <c r="P188" s="959"/>
      <c r="Q188" s="53">
        <f t="shared" si="35"/>
        <v>1</v>
      </c>
      <c r="R188" s="487">
        <f t="shared" si="36"/>
        <v>0</v>
      </c>
      <c r="S188" s="796">
        <f t="shared" si="37"/>
        <v>0</v>
      </c>
    </row>
    <row r="189" spans="1:19">
      <c r="A189" s="961"/>
      <c r="B189" s="137"/>
      <c r="C189" s="53">
        <f t="shared" si="28"/>
        <v>1</v>
      </c>
      <c r="D189" s="959"/>
      <c r="E189" s="53">
        <f t="shared" si="29"/>
        <v>1</v>
      </c>
      <c r="F189" s="959"/>
      <c r="G189" s="53">
        <f t="shared" si="30"/>
        <v>1</v>
      </c>
      <c r="H189" s="959"/>
      <c r="I189" s="53">
        <f t="shared" si="31"/>
        <v>1</v>
      </c>
      <c r="J189" s="959"/>
      <c r="K189" s="53">
        <f t="shared" si="32"/>
        <v>1</v>
      </c>
      <c r="L189" s="959"/>
      <c r="M189" s="53">
        <f t="shared" si="33"/>
        <v>1</v>
      </c>
      <c r="N189" s="959"/>
      <c r="O189" s="53">
        <f t="shared" si="34"/>
        <v>1</v>
      </c>
      <c r="P189" s="959"/>
      <c r="Q189" s="53">
        <f t="shared" si="35"/>
        <v>1</v>
      </c>
      <c r="R189" s="487">
        <f t="shared" si="36"/>
        <v>0</v>
      </c>
      <c r="S189" s="796">
        <f t="shared" si="37"/>
        <v>0</v>
      </c>
    </row>
    <row r="190" spans="1:19">
      <c r="A190" s="961"/>
      <c r="B190" s="137"/>
      <c r="C190" s="53">
        <f t="shared" si="28"/>
        <v>1</v>
      </c>
      <c r="D190" s="959"/>
      <c r="E190" s="53">
        <f t="shared" si="29"/>
        <v>1</v>
      </c>
      <c r="F190" s="959"/>
      <c r="G190" s="53">
        <f t="shared" si="30"/>
        <v>1</v>
      </c>
      <c r="H190" s="959"/>
      <c r="I190" s="53">
        <f t="shared" si="31"/>
        <v>1</v>
      </c>
      <c r="J190" s="959"/>
      <c r="K190" s="53">
        <f t="shared" si="32"/>
        <v>1</v>
      </c>
      <c r="L190" s="959"/>
      <c r="M190" s="53">
        <f t="shared" si="33"/>
        <v>1</v>
      </c>
      <c r="N190" s="959"/>
      <c r="O190" s="53">
        <f t="shared" si="34"/>
        <v>1</v>
      </c>
      <c r="P190" s="959"/>
      <c r="Q190" s="53">
        <f t="shared" si="35"/>
        <v>1</v>
      </c>
      <c r="R190" s="487">
        <f t="shared" si="36"/>
        <v>0</v>
      </c>
      <c r="S190" s="796">
        <f t="shared" si="37"/>
        <v>0</v>
      </c>
    </row>
    <row r="191" spans="1:19">
      <c r="A191" s="961"/>
      <c r="B191" s="137"/>
      <c r="C191" s="53">
        <f t="shared" si="28"/>
        <v>1</v>
      </c>
      <c r="D191" s="959"/>
      <c r="E191" s="53">
        <f t="shared" si="29"/>
        <v>1</v>
      </c>
      <c r="F191" s="959"/>
      <c r="G191" s="53">
        <f t="shared" si="30"/>
        <v>1</v>
      </c>
      <c r="H191" s="959"/>
      <c r="I191" s="53">
        <f t="shared" si="31"/>
        <v>1</v>
      </c>
      <c r="J191" s="959"/>
      <c r="K191" s="53">
        <f t="shared" si="32"/>
        <v>1</v>
      </c>
      <c r="L191" s="959"/>
      <c r="M191" s="53">
        <f t="shared" si="33"/>
        <v>1</v>
      </c>
      <c r="N191" s="959"/>
      <c r="O191" s="53">
        <f t="shared" si="34"/>
        <v>1</v>
      </c>
      <c r="P191" s="959"/>
      <c r="Q191" s="53">
        <f t="shared" si="35"/>
        <v>1</v>
      </c>
      <c r="R191" s="487">
        <f t="shared" si="36"/>
        <v>0</v>
      </c>
      <c r="S191" s="796">
        <f t="shared" si="37"/>
        <v>0</v>
      </c>
    </row>
    <row r="192" spans="1:19">
      <c r="A192" s="961"/>
      <c r="B192" s="137"/>
      <c r="C192" s="53">
        <f t="shared" si="28"/>
        <v>1</v>
      </c>
      <c r="D192" s="959"/>
      <c r="E192" s="53">
        <f t="shared" si="29"/>
        <v>1</v>
      </c>
      <c r="F192" s="959"/>
      <c r="G192" s="53">
        <f t="shared" si="30"/>
        <v>1</v>
      </c>
      <c r="H192" s="959"/>
      <c r="I192" s="53">
        <f t="shared" si="31"/>
        <v>1</v>
      </c>
      <c r="J192" s="959"/>
      <c r="K192" s="53">
        <f t="shared" si="32"/>
        <v>1</v>
      </c>
      <c r="L192" s="959"/>
      <c r="M192" s="53">
        <f t="shared" si="33"/>
        <v>1</v>
      </c>
      <c r="N192" s="959"/>
      <c r="O192" s="53">
        <f t="shared" si="34"/>
        <v>1</v>
      </c>
      <c r="P192" s="959"/>
      <c r="Q192" s="53">
        <f t="shared" si="35"/>
        <v>1</v>
      </c>
      <c r="R192" s="487">
        <f t="shared" si="36"/>
        <v>0</v>
      </c>
      <c r="S192" s="796">
        <f t="shared" si="37"/>
        <v>0</v>
      </c>
    </row>
    <row r="193" spans="1:19">
      <c r="A193" s="961"/>
      <c r="B193" s="137"/>
      <c r="C193" s="53">
        <f t="shared" si="28"/>
        <v>1</v>
      </c>
      <c r="D193" s="959"/>
      <c r="E193" s="53">
        <f t="shared" si="29"/>
        <v>1</v>
      </c>
      <c r="F193" s="959"/>
      <c r="G193" s="53">
        <f t="shared" si="30"/>
        <v>1</v>
      </c>
      <c r="H193" s="959"/>
      <c r="I193" s="53">
        <f t="shared" si="31"/>
        <v>1</v>
      </c>
      <c r="J193" s="959"/>
      <c r="K193" s="53">
        <f t="shared" si="32"/>
        <v>1</v>
      </c>
      <c r="L193" s="959"/>
      <c r="M193" s="53">
        <f t="shared" si="33"/>
        <v>1</v>
      </c>
      <c r="N193" s="959"/>
      <c r="O193" s="53">
        <f t="shared" si="34"/>
        <v>1</v>
      </c>
      <c r="P193" s="959"/>
      <c r="Q193" s="53">
        <f t="shared" si="35"/>
        <v>1</v>
      </c>
      <c r="R193" s="487">
        <f t="shared" si="36"/>
        <v>0</v>
      </c>
      <c r="S193" s="796">
        <f t="shared" si="37"/>
        <v>0</v>
      </c>
    </row>
    <row r="194" spans="1:19">
      <c r="A194" s="961"/>
      <c r="B194" s="137"/>
      <c r="C194" s="53">
        <f t="shared" si="28"/>
        <v>1</v>
      </c>
      <c r="D194" s="959"/>
      <c r="E194" s="53">
        <f t="shared" si="29"/>
        <v>1</v>
      </c>
      <c r="F194" s="959"/>
      <c r="G194" s="53">
        <f t="shared" si="30"/>
        <v>1</v>
      </c>
      <c r="H194" s="959"/>
      <c r="I194" s="53">
        <f t="shared" si="31"/>
        <v>1</v>
      </c>
      <c r="J194" s="959"/>
      <c r="K194" s="53">
        <f t="shared" si="32"/>
        <v>1</v>
      </c>
      <c r="L194" s="959"/>
      <c r="M194" s="53">
        <f t="shared" si="33"/>
        <v>1</v>
      </c>
      <c r="N194" s="959"/>
      <c r="O194" s="53">
        <f t="shared" si="34"/>
        <v>1</v>
      </c>
      <c r="P194" s="959"/>
      <c r="Q194" s="53">
        <f t="shared" si="35"/>
        <v>1</v>
      </c>
      <c r="R194" s="487">
        <f t="shared" si="36"/>
        <v>0</v>
      </c>
      <c r="S194" s="796">
        <f t="shared" si="37"/>
        <v>0</v>
      </c>
    </row>
    <row r="195" spans="1:19">
      <c r="A195" s="961"/>
      <c r="B195" s="137"/>
      <c r="C195" s="53">
        <f t="shared" si="28"/>
        <v>1</v>
      </c>
      <c r="D195" s="959"/>
      <c r="E195" s="53">
        <f t="shared" si="29"/>
        <v>1</v>
      </c>
      <c r="F195" s="959"/>
      <c r="G195" s="53">
        <f t="shared" si="30"/>
        <v>1</v>
      </c>
      <c r="H195" s="959"/>
      <c r="I195" s="53">
        <f t="shared" si="31"/>
        <v>1</v>
      </c>
      <c r="J195" s="959"/>
      <c r="K195" s="53">
        <f t="shared" si="32"/>
        <v>1</v>
      </c>
      <c r="L195" s="959"/>
      <c r="M195" s="53">
        <f t="shared" si="33"/>
        <v>1</v>
      </c>
      <c r="N195" s="959"/>
      <c r="O195" s="53">
        <f t="shared" si="34"/>
        <v>1</v>
      </c>
      <c r="P195" s="959"/>
      <c r="Q195" s="53">
        <f t="shared" si="35"/>
        <v>1</v>
      </c>
      <c r="R195" s="487">
        <f t="shared" si="36"/>
        <v>0</v>
      </c>
      <c r="S195" s="796">
        <f t="shared" si="37"/>
        <v>0</v>
      </c>
    </row>
    <row r="196" spans="1:19">
      <c r="A196" s="961"/>
      <c r="B196" s="137"/>
      <c r="C196" s="53">
        <f t="shared" si="28"/>
        <v>1</v>
      </c>
      <c r="D196" s="959"/>
      <c r="E196" s="53">
        <f t="shared" si="29"/>
        <v>1</v>
      </c>
      <c r="F196" s="959"/>
      <c r="G196" s="53">
        <f t="shared" si="30"/>
        <v>1</v>
      </c>
      <c r="H196" s="959"/>
      <c r="I196" s="53">
        <f t="shared" si="31"/>
        <v>1</v>
      </c>
      <c r="J196" s="959"/>
      <c r="K196" s="53">
        <f t="shared" si="32"/>
        <v>1</v>
      </c>
      <c r="L196" s="959"/>
      <c r="M196" s="53">
        <f t="shared" si="33"/>
        <v>1</v>
      </c>
      <c r="N196" s="959"/>
      <c r="O196" s="53">
        <f t="shared" si="34"/>
        <v>1</v>
      </c>
      <c r="P196" s="959"/>
      <c r="Q196" s="53">
        <f t="shared" si="35"/>
        <v>1</v>
      </c>
      <c r="R196" s="487">
        <f t="shared" si="36"/>
        <v>0</v>
      </c>
      <c r="S196" s="796">
        <f t="shared" si="37"/>
        <v>0</v>
      </c>
    </row>
    <row r="197" spans="1:19">
      <c r="A197" s="961"/>
      <c r="B197" s="137"/>
      <c r="C197" s="53">
        <f t="shared" si="28"/>
        <v>1</v>
      </c>
      <c r="D197" s="959"/>
      <c r="E197" s="53">
        <f t="shared" si="29"/>
        <v>1</v>
      </c>
      <c r="F197" s="959"/>
      <c r="G197" s="53">
        <f t="shared" si="30"/>
        <v>1</v>
      </c>
      <c r="H197" s="959"/>
      <c r="I197" s="53">
        <f t="shared" si="31"/>
        <v>1</v>
      </c>
      <c r="J197" s="959"/>
      <c r="K197" s="53">
        <f t="shared" si="32"/>
        <v>1</v>
      </c>
      <c r="L197" s="959"/>
      <c r="M197" s="53">
        <f t="shared" si="33"/>
        <v>1</v>
      </c>
      <c r="N197" s="959"/>
      <c r="O197" s="53">
        <f t="shared" si="34"/>
        <v>1</v>
      </c>
      <c r="P197" s="959"/>
      <c r="Q197" s="53">
        <f t="shared" si="35"/>
        <v>1</v>
      </c>
      <c r="R197" s="487">
        <f t="shared" si="36"/>
        <v>0</v>
      </c>
      <c r="S197" s="796">
        <f t="shared" si="37"/>
        <v>0</v>
      </c>
    </row>
    <row r="198" spans="1:19">
      <c r="A198" s="961"/>
      <c r="B198" s="137"/>
      <c r="C198" s="53">
        <f t="shared" si="28"/>
        <v>1</v>
      </c>
      <c r="D198" s="959"/>
      <c r="E198" s="53">
        <f t="shared" si="29"/>
        <v>1</v>
      </c>
      <c r="F198" s="959"/>
      <c r="G198" s="53">
        <f t="shared" si="30"/>
        <v>1</v>
      </c>
      <c r="H198" s="959"/>
      <c r="I198" s="53">
        <f t="shared" si="31"/>
        <v>1</v>
      </c>
      <c r="J198" s="959"/>
      <c r="K198" s="53">
        <f t="shared" si="32"/>
        <v>1</v>
      </c>
      <c r="L198" s="959"/>
      <c r="M198" s="53">
        <f t="shared" si="33"/>
        <v>1</v>
      </c>
      <c r="N198" s="959"/>
      <c r="O198" s="53">
        <f t="shared" si="34"/>
        <v>1</v>
      </c>
      <c r="P198" s="959"/>
      <c r="Q198" s="53">
        <f t="shared" si="35"/>
        <v>1</v>
      </c>
      <c r="R198" s="487">
        <f t="shared" si="36"/>
        <v>0</v>
      </c>
      <c r="S198" s="796">
        <f t="shared" si="37"/>
        <v>0</v>
      </c>
    </row>
    <row r="199" spans="1:19">
      <c r="A199" s="961"/>
      <c r="B199" s="137"/>
      <c r="C199" s="53">
        <f t="shared" si="28"/>
        <v>1</v>
      </c>
      <c r="D199" s="959"/>
      <c r="E199" s="53">
        <f t="shared" si="29"/>
        <v>1</v>
      </c>
      <c r="F199" s="959"/>
      <c r="G199" s="53">
        <f t="shared" si="30"/>
        <v>1</v>
      </c>
      <c r="H199" s="959"/>
      <c r="I199" s="53">
        <f t="shared" si="31"/>
        <v>1</v>
      </c>
      <c r="J199" s="959"/>
      <c r="K199" s="53">
        <f t="shared" si="32"/>
        <v>1</v>
      </c>
      <c r="L199" s="959"/>
      <c r="M199" s="53">
        <f t="shared" si="33"/>
        <v>1</v>
      </c>
      <c r="N199" s="959"/>
      <c r="O199" s="53">
        <f t="shared" si="34"/>
        <v>1</v>
      </c>
      <c r="P199" s="959"/>
      <c r="Q199" s="53">
        <f t="shared" si="35"/>
        <v>1</v>
      </c>
      <c r="R199" s="487">
        <f t="shared" si="36"/>
        <v>0</v>
      </c>
      <c r="S199" s="796">
        <f t="shared" si="37"/>
        <v>0</v>
      </c>
    </row>
    <row r="200" spans="1:19">
      <c r="A200" s="961"/>
      <c r="B200" s="137"/>
      <c r="C200" s="53">
        <f t="shared" si="28"/>
        <v>1</v>
      </c>
      <c r="D200" s="959"/>
      <c r="E200" s="53">
        <f t="shared" si="29"/>
        <v>1</v>
      </c>
      <c r="F200" s="959"/>
      <c r="G200" s="53">
        <f t="shared" si="30"/>
        <v>1</v>
      </c>
      <c r="H200" s="959"/>
      <c r="I200" s="53">
        <f t="shared" si="31"/>
        <v>1</v>
      </c>
      <c r="J200" s="959"/>
      <c r="K200" s="53">
        <f t="shared" si="32"/>
        <v>1</v>
      </c>
      <c r="L200" s="959"/>
      <c r="M200" s="53">
        <f t="shared" si="33"/>
        <v>1</v>
      </c>
      <c r="N200" s="959"/>
      <c r="O200" s="53">
        <f t="shared" si="34"/>
        <v>1</v>
      </c>
      <c r="P200" s="959"/>
      <c r="Q200" s="53">
        <f t="shared" si="35"/>
        <v>1</v>
      </c>
      <c r="R200" s="487">
        <f t="shared" si="36"/>
        <v>0</v>
      </c>
      <c r="S200" s="796">
        <f t="shared" si="37"/>
        <v>0</v>
      </c>
    </row>
    <row r="201" spans="1:19">
      <c r="A201" s="961"/>
      <c r="B201" s="137"/>
      <c r="C201" s="53">
        <f t="shared" si="28"/>
        <v>1</v>
      </c>
      <c r="D201" s="959"/>
      <c r="E201" s="53">
        <f t="shared" si="29"/>
        <v>1</v>
      </c>
      <c r="F201" s="959"/>
      <c r="G201" s="53">
        <f t="shared" si="30"/>
        <v>1</v>
      </c>
      <c r="H201" s="959"/>
      <c r="I201" s="53">
        <f t="shared" si="31"/>
        <v>1</v>
      </c>
      <c r="J201" s="959"/>
      <c r="K201" s="53">
        <f t="shared" si="32"/>
        <v>1</v>
      </c>
      <c r="L201" s="959"/>
      <c r="M201" s="53">
        <f t="shared" si="33"/>
        <v>1</v>
      </c>
      <c r="N201" s="959"/>
      <c r="O201" s="53">
        <f t="shared" si="34"/>
        <v>1</v>
      </c>
      <c r="P201" s="959"/>
      <c r="Q201" s="53">
        <f t="shared" si="35"/>
        <v>1</v>
      </c>
      <c r="R201" s="487">
        <f t="shared" si="36"/>
        <v>0</v>
      </c>
      <c r="S201" s="796">
        <f t="shared" si="37"/>
        <v>0</v>
      </c>
    </row>
    <row r="202" spans="1:19">
      <c r="A202" s="961"/>
      <c r="B202" s="137"/>
      <c r="C202" s="53">
        <f t="shared" si="28"/>
        <v>1</v>
      </c>
      <c r="D202" s="959"/>
      <c r="E202" s="53">
        <f t="shared" si="29"/>
        <v>1</v>
      </c>
      <c r="F202" s="959"/>
      <c r="G202" s="53">
        <f t="shared" si="30"/>
        <v>1</v>
      </c>
      <c r="H202" s="959"/>
      <c r="I202" s="53">
        <f t="shared" si="31"/>
        <v>1</v>
      </c>
      <c r="J202" s="959"/>
      <c r="K202" s="53">
        <f t="shared" si="32"/>
        <v>1</v>
      </c>
      <c r="L202" s="959"/>
      <c r="M202" s="53">
        <f t="shared" si="33"/>
        <v>1</v>
      </c>
      <c r="N202" s="959"/>
      <c r="O202" s="53">
        <f t="shared" si="34"/>
        <v>1</v>
      </c>
      <c r="P202" s="959"/>
      <c r="Q202" s="53">
        <f t="shared" si="35"/>
        <v>1</v>
      </c>
      <c r="R202" s="487">
        <f t="shared" si="36"/>
        <v>0</v>
      </c>
      <c r="S202" s="796">
        <f t="shared" si="37"/>
        <v>0</v>
      </c>
    </row>
    <row r="203" spans="1:19">
      <c r="A203" s="961"/>
      <c r="B203" s="137"/>
      <c r="C203" s="53">
        <f t="shared" si="28"/>
        <v>1</v>
      </c>
      <c r="D203" s="959"/>
      <c r="E203" s="53">
        <f t="shared" si="29"/>
        <v>1</v>
      </c>
      <c r="F203" s="959"/>
      <c r="G203" s="53">
        <f t="shared" si="30"/>
        <v>1</v>
      </c>
      <c r="H203" s="959"/>
      <c r="I203" s="53">
        <f t="shared" si="31"/>
        <v>1</v>
      </c>
      <c r="J203" s="959"/>
      <c r="K203" s="53">
        <f t="shared" si="32"/>
        <v>1</v>
      </c>
      <c r="L203" s="959"/>
      <c r="M203" s="53">
        <f t="shared" si="33"/>
        <v>1</v>
      </c>
      <c r="N203" s="959"/>
      <c r="O203" s="53">
        <f t="shared" si="34"/>
        <v>1</v>
      </c>
      <c r="P203" s="959"/>
      <c r="Q203" s="53">
        <f t="shared" si="35"/>
        <v>1</v>
      </c>
      <c r="R203" s="487">
        <f t="shared" si="36"/>
        <v>0</v>
      </c>
      <c r="S203" s="796">
        <f t="shared" si="37"/>
        <v>0</v>
      </c>
    </row>
    <row r="204" spans="1:19">
      <c r="A204" s="961"/>
      <c r="B204" s="137"/>
      <c r="C204" s="53">
        <f t="shared" si="28"/>
        <v>1</v>
      </c>
      <c r="D204" s="959"/>
      <c r="E204" s="53">
        <f t="shared" si="29"/>
        <v>1</v>
      </c>
      <c r="F204" s="959"/>
      <c r="G204" s="53">
        <f t="shared" si="30"/>
        <v>1</v>
      </c>
      <c r="H204" s="959"/>
      <c r="I204" s="53">
        <f t="shared" si="31"/>
        <v>1</v>
      </c>
      <c r="J204" s="959"/>
      <c r="K204" s="53">
        <f t="shared" si="32"/>
        <v>1</v>
      </c>
      <c r="L204" s="959"/>
      <c r="M204" s="53">
        <f t="shared" si="33"/>
        <v>1</v>
      </c>
      <c r="N204" s="959"/>
      <c r="O204" s="53">
        <f t="shared" si="34"/>
        <v>1</v>
      </c>
      <c r="P204" s="959"/>
      <c r="Q204" s="53">
        <f t="shared" si="35"/>
        <v>1</v>
      </c>
      <c r="R204" s="487">
        <f t="shared" si="36"/>
        <v>0</v>
      </c>
      <c r="S204" s="796">
        <f t="shared" si="37"/>
        <v>0</v>
      </c>
    </row>
    <row r="205" spans="1:19">
      <c r="A205" s="961"/>
      <c r="B205" s="137"/>
      <c r="C205" s="53">
        <f t="shared" si="28"/>
        <v>1</v>
      </c>
      <c r="D205" s="959"/>
      <c r="E205" s="53">
        <f t="shared" si="29"/>
        <v>1</v>
      </c>
      <c r="F205" s="959"/>
      <c r="G205" s="53">
        <f t="shared" si="30"/>
        <v>1</v>
      </c>
      <c r="H205" s="959"/>
      <c r="I205" s="53">
        <f t="shared" si="31"/>
        <v>1</v>
      </c>
      <c r="J205" s="959"/>
      <c r="K205" s="53">
        <f t="shared" si="32"/>
        <v>1</v>
      </c>
      <c r="L205" s="959"/>
      <c r="M205" s="53">
        <f t="shared" si="33"/>
        <v>1</v>
      </c>
      <c r="N205" s="959"/>
      <c r="O205" s="53">
        <f t="shared" si="34"/>
        <v>1</v>
      </c>
      <c r="P205" s="959"/>
      <c r="Q205" s="53">
        <f t="shared" si="35"/>
        <v>1</v>
      </c>
      <c r="R205" s="487">
        <f t="shared" si="36"/>
        <v>0</v>
      </c>
      <c r="S205" s="796">
        <f t="shared" si="37"/>
        <v>0</v>
      </c>
    </row>
    <row r="206" spans="1:19">
      <c r="A206" s="961"/>
      <c r="B206" s="137"/>
      <c r="C206" s="53">
        <f t="shared" si="28"/>
        <v>1</v>
      </c>
      <c r="D206" s="959"/>
      <c r="E206" s="53">
        <f t="shared" si="29"/>
        <v>1</v>
      </c>
      <c r="F206" s="959"/>
      <c r="G206" s="53">
        <f t="shared" si="30"/>
        <v>1</v>
      </c>
      <c r="H206" s="959"/>
      <c r="I206" s="53">
        <f t="shared" si="31"/>
        <v>1</v>
      </c>
      <c r="J206" s="959"/>
      <c r="K206" s="53">
        <f t="shared" si="32"/>
        <v>1</v>
      </c>
      <c r="L206" s="959"/>
      <c r="M206" s="53">
        <f t="shared" si="33"/>
        <v>1</v>
      </c>
      <c r="N206" s="959"/>
      <c r="O206" s="53">
        <f t="shared" si="34"/>
        <v>1</v>
      </c>
      <c r="P206" s="959"/>
      <c r="Q206" s="53">
        <f t="shared" si="35"/>
        <v>1</v>
      </c>
      <c r="R206" s="487">
        <f t="shared" si="36"/>
        <v>0</v>
      </c>
      <c r="S206" s="796">
        <f t="shared" si="37"/>
        <v>0</v>
      </c>
    </row>
    <row r="207" spans="1:19">
      <c r="A207" s="961"/>
      <c r="B207" s="137"/>
      <c r="C207" s="53">
        <f t="shared" si="28"/>
        <v>1</v>
      </c>
      <c r="D207" s="959"/>
      <c r="E207" s="53">
        <f t="shared" si="29"/>
        <v>1</v>
      </c>
      <c r="F207" s="959"/>
      <c r="G207" s="53">
        <f t="shared" si="30"/>
        <v>1</v>
      </c>
      <c r="H207" s="959"/>
      <c r="I207" s="53">
        <f t="shared" si="31"/>
        <v>1</v>
      </c>
      <c r="J207" s="959"/>
      <c r="K207" s="53">
        <f t="shared" si="32"/>
        <v>1</v>
      </c>
      <c r="L207" s="959"/>
      <c r="M207" s="53">
        <f t="shared" si="33"/>
        <v>1</v>
      </c>
      <c r="N207" s="959"/>
      <c r="O207" s="53">
        <f t="shared" si="34"/>
        <v>1</v>
      </c>
      <c r="P207" s="959"/>
      <c r="Q207" s="53">
        <f t="shared" si="35"/>
        <v>1</v>
      </c>
      <c r="R207" s="487">
        <f t="shared" si="36"/>
        <v>0</v>
      </c>
      <c r="S207" s="796">
        <f t="shared" si="37"/>
        <v>0</v>
      </c>
    </row>
    <row r="208" spans="1:19">
      <c r="A208" s="961"/>
      <c r="B208" s="137"/>
      <c r="C208" s="53">
        <f t="shared" si="28"/>
        <v>1</v>
      </c>
      <c r="D208" s="959"/>
      <c r="E208" s="53">
        <f t="shared" si="29"/>
        <v>1</v>
      </c>
      <c r="F208" s="959"/>
      <c r="G208" s="53">
        <f t="shared" si="30"/>
        <v>1</v>
      </c>
      <c r="H208" s="959"/>
      <c r="I208" s="53">
        <f t="shared" si="31"/>
        <v>1</v>
      </c>
      <c r="J208" s="959"/>
      <c r="K208" s="53">
        <f t="shared" si="32"/>
        <v>1</v>
      </c>
      <c r="L208" s="959"/>
      <c r="M208" s="53">
        <f t="shared" si="33"/>
        <v>1</v>
      </c>
      <c r="N208" s="959"/>
      <c r="O208" s="53">
        <f t="shared" si="34"/>
        <v>1</v>
      </c>
      <c r="P208" s="959"/>
      <c r="Q208" s="53">
        <f t="shared" si="35"/>
        <v>1</v>
      </c>
      <c r="R208" s="487">
        <f t="shared" si="36"/>
        <v>0</v>
      </c>
      <c r="S208" s="796">
        <f t="shared" si="37"/>
        <v>0</v>
      </c>
    </row>
    <row r="209" spans="1:19">
      <c r="A209" s="961"/>
      <c r="B209" s="137"/>
      <c r="C209" s="53">
        <f t="shared" si="28"/>
        <v>1</v>
      </c>
      <c r="D209" s="959"/>
      <c r="E209" s="53">
        <f t="shared" si="29"/>
        <v>1</v>
      </c>
      <c r="F209" s="959"/>
      <c r="G209" s="53">
        <f t="shared" si="30"/>
        <v>1</v>
      </c>
      <c r="H209" s="959"/>
      <c r="I209" s="53">
        <f t="shared" si="31"/>
        <v>1</v>
      </c>
      <c r="J209" s="959"/>
      <c r="K209" s="53">
        <f t="shared" si="32"/>
        <v>1</v>
      </c>
      <c r="L209" s="959"/>
      <c r="M209" s="53">
        <f t="shared" si="33"/>
        <v>1</v>
      </c>
      <c r="N209" s="959"/>
      <c r="O209" s="53">
        <f t="shared" si="34"/>
        <v>1</v>
      </c>
      <c r="P209" s="959"/>
      <c r="Q209" s="53">
        <f t="shared" si="35"/>
        <v>1</v>
      </c>
      <c r="R209" s="487">
        <f t="shared" si="36"/>
        <v>0</v>
      </c>
      <c r="S209" s="796">
        <f t="shared" si="37"/>
        <v>0</v>
      </c>
    </row>
    <row r="210" spans="1:19">
      <c r="A210" s="961"/>
      <c r="B210" s="137"/>
      <c r="C210" s="53">
        <f t="shared" si="28"/>
        <v>1</v>
      </c>
      <c r="D210" s="959"/>
      <c r="E210" s="53">
        <f t="shared" si="29"/>
        <v>1</v>
      </c>
      <c r="F210" s="959"/>
      <c r="G210" s="53">
        <f t="shared" si="30"/>
        <v>1</v>
      </c>
      <c r="H210" s="959"/>
      <c r="I210" s="53">
        <f t="shared" si="31"/>
        <v>1</v>
      </c>
      <c r="J210" s="959"/>
      <c r="K210" s="53">
        <f t="shared" si="32"/>
        <v>1</v>
      </c>
      <c r="L210" s="959"/>
      <c r="M210" s="53">
        <f t="shared" si="33"/>
        <v>1</v>
      </c>
      <c r="N210" s="959"/>
      <c r="O210" s="53">
        <f t="shared" si="34"/>
        <v>1</v>
      </c>
      <c r="P210" s="959"/>
      <c r="Q210" s="53">
        <f t="shared" si="35"/>
        <v>1</v>
      </c>
      <c r="R210" s="487">
        <f t="shared" si="36"/>
        <v>0</v>
      </c>
      <c r="S210" s="796">
        <f t="shared" si="37"/>
        <v>0</v>
      </c>
    </row>
    <row r="211" spans="1:19">
      <c r="A211" s="961"/>
      <c r="B211" s="137"/>
      <c r="C211" s="53">
        <f t="shared" si="28"/>
        <v>1</v>
      </c>
      <c r="D211" s="959"/>
      <c r="E211" s="53">
        <f t="shared" si="29"/>
        <v>1</v>
      </c>
      <c r="F211" s="959"/>
      <c r="G211" s="53">
        <f t="shared" si="30"/>
        <v>1</v>
      </c>
      <c r="H211" s="959"/>
      <c r="I211" s="53">
        <f t="shared" si="31"/>
        <v>1</v>
      </c>
      <c r="J211" s="959"/>
      <c r="K211" s="53">
        <f t="shared" si="32"/>
        <v>1</v>
      </c>
      <c r="L211" s="959"/>
      <c r="M211" s="53">
        <f t="shared" si="33"/>
        <v>1</v>
      </c>
      <c r="N211" s="959"/>
      <c r="O211" s="53">
        <f t="shared" si="34"/>
        <v>1</v>
      </c>
      <c r="P211" s="959"/>
      <c r="Q211" s="53">
        <f t="shared" si="35"/>
        <v>1</v>
      </c>
      <c r="R211" s="487">
        <f t="shared" si="36"/>
        <v>0</v>
      </c>
      <c r="S211" s="796">
        <f t="shared" si="37"/>
        <v>0</v>
      </c>
    </row>
    <row r="212" spans="1:19">
      <c r="A212" s="961"/>
      <c r="B212" s="137"/>
      <c r="C212" s="53">
        <f t="shared" si="28"/>
        <v>1</v>
      </c>
      <c r="D212" s="959"/>
      <c r="E212" s="53">
        <f t="shared" si="29"/>
        <v>1</v>
      </c>
      <c r="F212" s="959"/>
      <c r="G212" s="53">
        <f t="shared" si="30"/>
        <v>1</v>
      </c>
      <c r="H212" s="959"/>
      <c r="I212" s="53">
        <f t="shared" si="31"/>
        <v>1</v>
      </c>
      <c r="J212" s="959"/>
      <c r="K212" s="53">
        <f t="shared" si="32"/>
        <v>1</v>
      </c>
      <c r="L212" s="959"/>
      <c r="M212" s="53">
        <f t="shared" si="33"/>
        <v>1</v>
      </c>
      <c r="N212" s="959"/>
      <c r="O212" s="53">
        <f t="shared" si="34"/>
        <v>1</v>
      </c>
      <c r="P212" s="959"/>
      <c r="Q212" s="53">
        <f t="shared" si="35"/>
        <v>1</v>
      </c>
      <c r="R212" s="487">
        <f t="shared" si="36"/>
        <v>0</v>
      </c>
      <c r="S212" s="796">
        <f t="shared" si="37"/>
        <v>0</v>
      </c>
    </row>
    <row r="213" spans="1:19">
      <c r="A213" s="961"/>
      <c r="B213" s="137"/>
      <c r="C213" s="53">
        <f t="shared" si="28"/>
        <v>1</v>
      </c>
      <c r="D213" s="959"/>
      <c r="E213" s="53">
        <f t="shared" si="29"/>
        <v>1</v>
      </c>
      <c r="F213" s="959"/>
      <c r="G213" s="53">
        <f t="shared" si="30"/>
        <v>1</v>
      </c>
      <c r="H213" s="959"/>
      <c r="I213" s="53">
        <f t="shared" si="31"/>
        <v>1</v>
      </c>
      <c r="J213" s="959"/>
      <c r="K213" s="53">
        <f t="shared" si="32"/>
        <v>1</v>
      </c>
      <c r="L213" s="959"/>
      <c r="M213" s="53">
        <f t="shared" si="33"/>
        <v>1</v>
      </c>
      <c r="N213" s="959"/>
      <c r="O213" s="53">
        <f t="shared" si="34"/>
        <v>1</v>
      </c>
      <c r="P213" s="959"/>
      <c r="Q213" s="53">
        <f t="shared" si="35"/>
        <v>1</v>
      </c>
      <c r="R213" s="487">
        <f t="shared" si="36"/>
        <v>0</v>
      </c>
      <c r="S213" s="796">
        <f t="shared" si="37"/>
        <v>0</v>
      </c>
    </row>
    <row r="214" spans="1:19">
      <c r="A214" s="961"/>
      <c r="B214" s="137"/>
      <c r="C214" s="53">
        <f t="shared" si="28"/>
        <v>1</v>
      </c>
      <c r="D214" s="959"/>
      <c r="E214" s="53">
        <f t="shared" si="29"/>
        <v>1</v>
      </c>
      <c r="F214" s="959"/>
      <c r="G214" s="53">
        <f t="shared" si="30"/>
        <v>1</v>
      </c>
      <c r="H214" s="959"/>
      <c r="I214" s="53">
        <f t="shared" si="31"/>
        <v>1</v>
      </c>
      <c r="J214" s="959"/>
      <c r="K214" s="53">
        <f t="shared" si="32"/>
        <v>1</v>
      </c>
      <c r="L214" s="959"/>
      <c r="M214" s="53">
        <f t="shared" si="33"/>
        <v>1</v>
      </c>
      <c r="N214" s="959"/>
      <c r="O214" s="53">
        <f t="shared" si="34"/>
        <v>1</v>
      </c>
      <c r="P214" s="959"/>
      <c r="Q214" s="53">
        <f t="shared" si="35"/>
        <v>1</v>
      </c>
      <c r="R214" s="487">
        <f t="shared" si="36"/>
        <v>0</v>
      </c>
      <c r="S214" s="796">
        <f t="shared" si="37"/>
        <v>0</v>
      </c>
    </row>
    <row r="215" spans="1:19">
      <c r="A215" s="961"/>
      <c r="B215" s="137"/>
      <c r="C215" s="53">
        <f t="shared" si="28"/>
        <v>1</v>
      </c>
      <c r="D215" s="959"/>
      <c r="E215" s="53">
        <f t="shared" si="29"/>
        <v>1</v>
      </c>
      <c r="F215" s="959"/>
      <c r="G215" s="53">
        <f t="shared" si="30"/>
        <v>1</v>
      </c>
      <c r="H215" s="959"/>
      <c r="I215" s="53">
        <f t="shared" si="31"/>
        <v>1</v>
      </c>
      <c r="J215" s="959"/>
      <c r="K215" s="53">
        <f t="shared" si="32"/>
        <v>1</v>
      </c>
      <c r="L215" s="959"/>
      <c r="M215" s="53">
        <f t="shared" si="33"/>
        <v>1</v>
      </c>
      <c r="N215" s="959"/>
      <c r="O215" s="53">
        <f t="shared" si="34"/>
        <v>1</v>
      </c>
      <c r="P215" s="959"/>
      <c r="Q215" s="53">
        <f t="shared" si="35"/>
        <v>1</v>
      </c>
      <c r="R215" s="487">
        <f t="shared" si="36"/>
        <v>0</v>
      </c>
      <c r="S215" s="796">
        <f t="shared" si="37"/>
        <v>0</v>
      </c>
    </row>
    <row r="216" spans="1:19">
      <c r="A216" s="961"/>
      <c r="B216" s="137"/>
      <c r="C216" s="53">
        <f t="shared" si="28"/>
        <v>1</v>
      </c>
      <c r="D216" s="959"/>
      <c r="E216" s="53">
        <f t="shared" si="29"/>
        <v>1</v>
      </c>
      <c r="F216" s="959"/>
      <c r="G216" s="53">
        <f t="shared" si="30"/>
        <v>1</v>
      </c>
      <c r="H216" s="959"/>
      <c r="I216" s="53">
        <f t="shared" si="31"/>
        <v>1</v>
      </c>
      <c r="J216" s="959"/>
      <c r="K216" s="53">
        <f t="shared" si="32"/>
        <v>1</v>
      </c>
      <c r="L216" s="959"/>
      <c r="M216" s="53">
        <f t="shared" si="33"/>
        <v>1</v>
      </c>
      <c r="N216" s="959"/>
      <c r="O216" s="53">
        <f t="shared" si="34"/>
        <v>1</v>
      </c>
      <c r="P216" s="959"/>
      <c r="Q216" s="53">
        <f t="shared" si="35"/>
        <v>1</v>
      </c>
      <c r="R216" s="487">
        <f t="shared" si="36"/>
        <v>0</v>
      </c>
      <c r="S216" s="796">
        <f t="shared" si="37"/>
        <v>0</v>
      </c>
    </row>
    <row r="217" spans="1:19">
      <c r="A217" s="961"/>
      <c r="B217" s="137"/>
      <c r="C217" s="53">
        <f t="shared" si="28"/>
        <v>1</v>
      </c>
      <c r="D217" s="959"/>
      <c r="E217" s="53">
        <f t="shared" si="29"/>
        <v>1</v>
      </c>
      <c r="F217" s="959"/>
      <c r="G217" s="53">
        <f t="shared" si="30"/>
        <v>1</v>
      </c>
      <c r="H217" s="959"/>
      <c r="I217" s="53">
        <f t="shared" si="31"/>
        <v>1</v>
      </c>
      <c r="J217" s="959"/>
      <c r="K217" s="53">
        <f t="shared" si="32"/>
        <v>1</v>
      </c>
      <c r="L217" s="959"/>
      <c r="M217" s="53">
        <f t="shared" si="33"/>
        <v>1</v>
      </c>
      <c r="N217" s="959"/>
      <c r="O217" s="53">
        <f t="shared" si="34"/>
        <v>1</v>
      </c>
      <c r="P217" s="959"/>
      <c r="Q217" s="53">
        <f t="shared" si="35"/>
        <v>1</v>
      </c>
      <c r="R217" s="487">
        <f t="shared" si="36"/>
        <v>0</v>
      </c>
      <c r="S217" s="796">
        <f t="shared" si="37"/>
        <v>0</v>
      </c>
    </row>
    <row r="218" spans="1:19">
      <c r="A218" s="961"/>
      <c r="B218" s="137"/>
      <c r="C218" s="53">
        <f t="shared" ref="C218:C281" si="38">IF(B218="",1,(LOOKUP(B218,$3:$3,$4:$4)-LOOKUP($B$24,$3:$3,$4:$4)+100)/100)</f>
        <v>1</v>
      </c>
      <c r="D218" s="959"/>
      <c r="E218" s="53">
        <f t="shared" ref="E218:E281" si="39">(SUMIF($5:$5,D218,$6:$6)-SUMIF($5:$5,$D$24,$6:$6)+100)/100</f>
        <v>1</v>
      </c>
      <c r="F218" s="959"/>
      <c r="G218" s="53">
        <f t="shared" ref="G218:G281" si="40">(SUMIF($7:$7,F218,$8:$8)-SUMIF($7:$7,$F$24,$8:$8)+100)/100</f>
        <v>1</v>
      </c>
      <c r="H218" s="959"/>
      <c r="I218" s="53">
        <f t="shared" ref="I218:I281" si="41">(SUMIF($9:$9,H218,$10:$10)-SUMIF($9:$9,$H$24,$10:$10)+100)/100</f>
        <v>1</v>
      </c>
      <c r="J218" s="959"/>
      <c r="K218" s="53">
        <f t="shared" ref="K218:K281" si="42">(SUMIF($11:$11,J218,$12:$12)-SUMIF($11:$11,$J$24,$12:$12)+100)/100</f>
        <v>1</v>
      </c>
      <c r="L218" s="959"/>
      <c r="M218" s="53">
        <f t="shared" ref="M218:M281" si="43">(SUMIF($13:$13,L218,$14:$14)-SUMIF($13:$13,$L$24,$14:$14)+100)/100</f>
        <v>1</v>
      </c>
      <c r="N218" s="959"/>
      <c r="O218" s="53">
        <f t="shared" ref="O218:O281" si="44">(SUMIF($15:$15,N218,$16:$16)-SUMIF($15:$15,$N$24,$16:$16)+100)/100</f>
        <v>1</v>
      </c>
      <c r="P218" s="959"/>
      <c r="Q218" s="53">
        <f t="shared" ref="Q218:Q281" si="45">(SUMIF($17:$17,P218,$18:$18)-SUMIF($17:$17,$P$24,$18:$18)+100)/100</f>
        <v>1</v>
      </c>
      <c r="R218" s="487">
        <f t="shared" ref="R218:R281" si="46">IF(B218="",0,ROUND($R$24*C218*E218*G218*I218*K218*M218*O218*Q218,0))</f>
        <v>0</v>
      </c>
      <c r="S218" s="796">
        <f t="shared" si="37"/>
        <v>0</v>
      </c>
    </row>
    <row r="219" spans="1:19">
      <c r="A219" s="961"/>
      <c r="B219" s="137"/>
      <c r="C219" s="53">
        <f t="shared" si="38"/>
        <v>1</v>
      </c>
      <c r="D219" s="959"/>
      <c r="E219" s="53">
        <f t="shared" si="39"/>
        <v>1</v>
      </c>
      <c r="F219" s="959"/>
      <c r="G219" s="53">
        <f t="shared" si="40"/>
        <v>1</v>
      </c>
      <c r="H219" s="959"/>
      <c r="I219" s="53">
        <f t="shared" si="41"/>
        <v>1</v>
      </c>
      <c r="J219" s="959"/>
      <c r="K219" s="53">
        <f t="shared" si="42"/>
        <v>1</v>
      </c>
      <c r="L219" s="959"/>
      <c r="M219" s="53">
        <f t="shared" si="43"/>
        <v>1</v>
      </c>
      <c r="N219" s="959"/>
      <c r="O219" s="53">
        <f t="shared" si="44"/>
        <v>1</v>
      </c>
      <c r="P219" s="959"/>
      <c r="Q219" s="53">
        <f t="shared" si="45"/>
        <v>1</v>
      </c>
      <c r="R219" s="487">
        <f t="shared" si="46"/>
        <v>0</v>
      </c>
      <c r="S219" s="796">
        <f t="shared" si="37"/>
        <v>0</v>
      </c>
    </row>
    <row r="220" spans="1:19">
      <c r="A220" s="961"/>
      <c r="B220" s="137"/>
      <c r="C220" s="53">
        <f t="shared" si="38"/>
        <v>1</v>
      </c>
      <c r="D220" s="959"/>
      <c r="E220" s="53">
        <f t="shared" si="39"/>
        <v>1</v>
      </c>
      <c r="F220" s="959"/>
      <c r="G220" s="53">
        <f t="shared" si="40"/>
        <v>1</v>
      </c>
      <c r="H220" s="959"/>
      <c r="I220" s="53">
        <f t="shared" si="41"/>
        <v>1</v>
      </c>
      <c r="J220" s="959"/>
      <c r="K220" s="53">
        <f t="shared" si="42"/>
        <v>1</v>
      </c>
      <c r="L220" s="959"/>
      <c r="M220" s="53">
        <f t="shared" si="43"/>
        <v>1</v>
      </c>
      <c r="N220" s="959"/>
      <c r="O220" s="53">
        <f t="shared" si="44"/>
        <v>1</v>
      </c>
      <c r="P220" s="959"/>
      <c r="Q220" s="53">
        <f t="shared" si="45"/>
        <v>1</v>
      </c>
      <c r="R220" s="487">
        <f t="shared" si="46"/>
        <v>0</v>
      </c>
      <c r="S220" s="796">
        <f t="shared" si="37"/>
        <v>0</v>
      </c>
    </row>
    <row r="221" spans="1:19">
      <c r="A221" s="961"/>
      <c r="B221" s="137"/>
      <c r="C221" s="53">
        <f t="shared" si="38"/>
        <v>1</v>
      </c>
      <c r="D221" s="959"/>
      <c r="E221" s="53">
        <f t="shared" si="39"/>
        <v>1</v>
      </c>
      <c r="F221" s="959"/>
      <c r="G221" s="53">
        <f t="shared" si="40"/>
        <v>1</v>
      </c>
      <c r="H221" s="959"/>
      <c r="I221" s="53">
        <f t="shared" si="41"/>
        <v>1</v>
      </c>
      <c r="J221" s="959"/>
      <c r="K221" s="53">
        <f t="shared" si="42"/>
        <v>1</v>
      </c>
      <c r="L221" s="959"/>
      <c r="M221" s="53">
        <f t="shared" si="43"/>
        <v>1</v>
      </c>
      <c r="N221" s="959"/>
      <c r="O221" s="53">
        <f t="shared" si="44"/>
        <v>1</v>
      </c>
      <c r="P221" s="959"/>
      <c r="Q221" s="53">
        <f t="shared" si="45"/>
        <v>1</v>
      </c>
      <c r="R221" s="487">
        <f t="shared" si="46"/>
        <v>0</v>
      </c>
      <c r="S221" s="796">
        <f t="shared" si="37"/>
        <v>0</v>
      </c>
    </row>
    <row r="222" spans="1:19">
      <c r="A222" s="961"/>
      <c r="B222" s="137"/>
      <c r="C222" s="53">
        <f t="shared" si="38"/>
        <v>1</v>
      </c>
      <c r="D222" s="959"/>
      <c r="E222" s="53">
        <f t="shared" si="39"/>
        <v>1</v>
      </c>
      <c r="F222" s="959"/>
      <c r="G222" s="53">
        <f t="shared" si="40"/>
        <v>1</v>
      </c>
      <c r="H222" s="959"/>
      <c r="I222" s="53">
        <f t="shared" si="41"/>
        <v>1</v>
      </c>
      <c r="J222" s="959"/>
      <c r="K222" s="53">
        <f t="shared" si="42"/>
        <v>1</v>
      </c>
      <c r="L222" s="959"/>
      <c r="M222" s="53">
        <f t="shared" si="43"/>
        <v>1</v>
      </c>
      <c r="N222" s="959"/>
      <c r="O222" s="53">
        <f t="shared" si="44"/>
        <v>1</v>
      </c>
      <c r="P222" s="959"/>
      <c r="Q222" s="53">
        <f t="shared" si="45"/>
        <v>1</v>
      </c>
      <c r="R222" s="487">
        <f t="shared" si="46"/>
        <v>0</v>
      </c>
      <c r="S222" s="796">
        <f t="shared" si="37"/>
        <v>0</v>
      </c>
    </row>
    <row r="223" spans="1:19">
      <c r="A223" s="961"/>
      <c r="B223" s="137"/>
      <c r="C223" s="53">
        <f t="shared" si="38"/>
        <v>1</v>
      </c>
      <c r="D223" s="959"/>
      <c r="E223" s="53">
        <f t="shared" si="39"/>
        <v>1</v>
      </c>
      <c r="F223" s="959"/>
      <c r="G223" s="53">
        <f t="shared" si="40"/>
        <v>1</v>
      </c>
      <c r="H223" s="959"/>
      <c r="I223" s="53">
        <f t="shared" si="41"/>
        <v>1</v>
      </c>
      <c r="J223" s="959"/>
      <c r="K223" s="53">
        <f t="shared" si="42"/>
        <v>1</v>
      </c>
      <c r="L223" s="959"/>
      <c r="M223" s="53">
        <f t="shared" si="43"/>
        <v>1</v>
      </c>
      <c r="N223" s="959"/>
      <c r="O223" s="53">
        <f t="shared" si="44"/>
        <v>1</v>
      </c>
      <c r="P223" s="959"/>
      <c r="Q223" s="53">
        <f t="shared" si="45"/>
        <v>1</v>
      </c>
      <c r="R223" s="487">
        <f t="shared" si="46"/>
        <v>0</v>
      </c>
      <c r="S223" s="796">
        <f t="shared" ref="S223:S286" si="47">ROUND(R223*B223/10000,0)</f>
        <v>0</v>
      </c>
    </row>
    <row r="224" spans="1:19">
      <c r="A224" s="961"/>
      <c r="B224" s="137"/>
      <c r="C224" s="53">
        <f t="shared" si="38"/>
        <v>1</v>
      </c>
      <c r="D224" s="959"/>
      <c r="E224" s="53">
        <f t="shared" si="39"/>
        <v>1</v>
      </c>
      <c r="F224" s="959"/>
      <c r="G224" s="53">
        <f t="shared" si="40"/>
        <v>1</v>
      </c>
      <c r="H224" s="959"/>
      <c r="I224" s="53">
        <f t="shared" si="41"/>
        <v>1</v>
      </c>
      <c r="J224" s="959"/>
      <c r="K224" s="53">
        <f t="shared" si="42"/>
        <v>1</v>
      </c>
      <c r="L224" s="959"/>
      <c r="M224" s="53">
        <f t="shared" si="43"/>
        <v>1</v>
      </c>
      <c r="N224" s="959"/>
      <c r="O224" s="53">
        <f t="shared" si="44"/>
        <v>1</v>
      </c>
      <c r="P224" s="959"/>
      <c r="Q224" s="53">
        <f t="shared" si="45"/>
        <v>1</v>
      </c>
      <c r="R224" s="487">
        <f t="shared" si="46"/>
        <v>0</v>
      </c>
      <c r="S224" s="796">
        <f t="shared" si="47"/>
        <v>0</v>
      </c>
    </row>
    <row r="225" spans="1:19">
      <c r="A225" s="961"/>
      <c r="B225" s="137"/>
      <c r="C225" s="53">
        <f t="shared" si="38"/>
        <v>1</v>
      </c>
      <c r="D225" s="959"/>
      <c r="E225" s="53">
        <f t="shared" si="39"/>
        <v>1</v>
      </c>
      <c r="F225" s="959"/>
      <c r="G225" s="53">
        <f t="shared" si="40"/>
        <v>1</v>
      </c>
      <c r="H225" s="959"/>
      <c r="I225" s="53">
        <f t="shared" si="41"/>
        <v>1</v>
      </c>
      <c r="J225" s="959"/>
      <c r="K225" s="53">
        <f t="shared" si="42"/>
        <v>1</v>
      </c>
      <c r="L225" s="959"/>
      <c r="M225" s="53">
        <f t="shared" si="43"/>
        <v>1</v>
      </c>
      <c r="N225" s="959"/>
      <c r="O225" s="53">
        <f t="shared" si="44"/>
        <v>1</v>
      </c>
      <c r="P225" s="959"/>
      <c r="Q225" s="53">
        <f t="shared" si="45"/>
        <v>1</v>
      </c>
      <c r="R225" s="487">
        <f t="shared" si="46"/>
        <v>0</v>
      </c>
      <c r="S225" s="796">
        <f t="shared" si="47"/>
        <v>0</v>
      </c>
    </row>
    <row r="226" spans="1:19">
      <c r="A226" s="961"/>
      <c r="B226" s="137"/>
      <c r="C226" s="53">
        <f t="shared" si="38"/>
        <v>1</v>
      </c>
      <c r="D226" s="959"/>
      <c r="E226" s="53">
        <f t="shared" si="39"/>
        <v>1</v>
      </c>
      <c r="F226" s="959"/>
      <c r="G226" s="53">
        <f t="shared" si="40"/>
        <v>1</v>
      </c>
      <c r="H226" s="959"/>
      <c r="I226" s="53">
        <f t="shared" si="41"/>
        <v>1</v>
      </c>
      <c r="J226" s="959"/>
      <c r="K226" s="53">
        <f t="shared" si="42"/>
        <v>1</v>
      </c>
      <c r="L226" s="959"/>
      <c r="M226" s="53">
        <f t="shared" si="43"/>
        <v>1</v>
      </c>
      <c r="N226" s="959"/>
      <c r="O226" s="53">
        <f t="shared" si="44"/>
        <v>1</v>
      </c>
      <c r="P226" s="959"/>
      <c r="Q226" s="53">
        <f t="shared" si="45"/>
        <v>1</v>
      </c>
      <c r="R226" s="487">
        <f t="shared" si="46"/>
        <v>0</v>
      </c>
      <c r="S226" s="796">
        <f t="shared" si="47"/>
        <v>0</v>
      </c>
    </row>
    <row r="227" spans="1:19">
      <c r="A227" s="961"/>
      <c r="B227" s="137"/>
      <c r="C227" s="53">
        <f t="shared" si="38"/>
        <v>1</v>
      </c>
      <c r="D227" s="959"/>
      <c r="E227" s="53">
        <f t="shared" si="39"/>
        <v>1</v>
      </c>
      <c r="F227" s="959"/>
      <c r="G227" s="53">
        <f t="shared" si="40"/>
        <v>1</v>
      </c>
      <c r="H227" s="959"/>
      <c r="I227" s="53">
        <f t="shared" si="41"/>
        <v>1</v>
      </c>
      <c r="J227" s="959"/>
      <c r="K227" s="53">
        <f t="shared" si="42"/>
        <v>1</v>
      </c>
      <c r="L227" s="959"/>
      <c r="M227" s="53">
        <f t="shared" si="43"/>
        <v>1</v>
      </c>
      <c r="N227" s="959"/>
      <c r="O227" s="53">
        <f t="shared" si="44"/>
        <v>1</v>
      </c>
      <c r="P227" s="959"/>
      <c r="Q227" s="53">
        <f t="shared" si="45"/>
        <v>1</v>
      </c>
      <c r="R227" s="487">
        <f t="shared" si="46"/>
        <v>0</v>
      </c>
      <c r="S227" s="796">
        <f t="shared" si="47"/>
        <v>0</v>
      </c>
    </row>
    <row r="228" spans="1:19">
      <c r="A228" s="961"/>
      <c r="B228" s="137"/>
      <c r="C228" s="53">
        <f t="shared" si="38"/>
        <v>1</v>
      </c>
      <c r="D228" s="959"/>
      <c r="E228" s="53">
        <f t="shared" si="39"/>
        <v>1</v>
      </c>
      <c r="F228" s="959"/>
      <c r="G228" s="53">
        <f t="shared" si="40"/>
        <v>1</v>
      </c>
      <c r="H228" s="959"/>
      <c r="I228" s="53">
        <f t="shared" si="41"/>
        <v>1</v>
      </c>
      <c r="J228" s="959"/>
      <c r="K228" s="53">
        <f t="shared" si="42"/>
        <v>1</v>
      </c>
      <c r="L228" s="959"/>
      <c r="M228" s="53">
        <f t="shared" si="43"/>
        <v>1</v>
      </c>
      <c r="N228" s="959"/>
      <c r="O228" s="53">
        <f t="shared" si="44"/>
        <v>1</v>
      </c>
      <c r="P228" s="959"/>
      <c r="Q228" s="53">
        <f t="shared" si="45"/>
        <v>1</v>
      </c>
      <c r="R228" s="487">
        <f t="shared" si="46"/>
        <v>0</v>
      </c>
      <c r="S228" s="796">
        <f t="shared" si="47"/>
        <v>0</v>
      </c>
    </row>
    <row r="229" spans="1:19">
      <c r="A229" s="961"/>
      <c r="B229" s="137"/>
      <c r="C229" s="53">
        <f t="shared" si="38"/>
        <v>1</v>
      </c>
      <c r="D229" s="959"/>
      <c r="E229" s="53">
        <f t="shared" si="39"/>
        <v>1</v>
      </c>
      <c r="F229" s="959"/>
      <c r="G229" s="53">
        <f t="shared" si="40"/>
        <v>1</v>
      </c>
      <c r="H229" s="959"/>
      <c r="I229" s="53">
        <f t="shared" si="41"/>
        <v>1</v>
      </c>
      <c r="J229" s="959"/>
      <c r="K229" s="53">
        <f t="shared" si="42"/>
        <v>1</v>
      </c>
      <c r="L229" s="959"/>
      <c r="M229" s="53">
        <f t="shared" si="43"/>
        <v>1</v>
      </c>
      <c r="N229" s="959"/>
      <c r="O229" s="53">
        <f t="shared" si="44"/>
        <v>1</v>
      </c>
      <c r="P229" s="959"/>
      <c r="Q229" s="53">
        <f t="shared" si="45"/>
        <v>1</v>
      </c>
      <c r="R229" s="487">
        <f t="shared" si="46"/>
        <v>0</v>
      </c>
      <c r="S229" s="796">
        <f t="shared" si="47"/>
        <v>0</v>
      </c>
    </row>
    <row r="230" spans="1:19">
      <c r="A230" s="961"/>
      <c r="B230" s="137"/>
      <c r="C230" s="53">
        <f t="shared" si="38"/>
        <v>1</v>
      </c>
      <c r="D230" s="959"/>
      <c r="E230" s="53">
        <f t="shared" si="39"/>
        <v>1</v>
      </c>
      <c r="F230" s="959"/>
      <c r="G230" s="53">
        <f t="shared" si="40"/>
        <v>1</v>
      </c>
      <c r="H230" s="959"/>
      <c r="I230" s="53">
        <f t="shared" si="41"/>
        <v>1</v>
      </c>
      <c r="J230" s="959"/>
      <c r="K230" s="53">
        <f t="shared" si="42"/>
        <v>1</v>
      </c>
      <c r="L230" s="959"/>
      <c r="M230" s="53">
        <f t="shared" si="43"/>
        <v>1</v>
      </c>
      <c r="N230" s="959"/>
      <c r="O230" s="53">
        <f t="shared" si="44"/>
        <v>1</v>
      </c>
      <c r="P230" s="959"/>
      <c r="Q230" s="53">
        <f t="shared" si="45"/>
        <v>1</v>
      </c>
      <c r="R230" s="487">
        <f t="shared" si="46"/>
        <v>0</v>
      </c>
      <c r="S230" s="796">
        <f t="shared" si="47"/>
        <v>0</v>
      </c>
    </row>
    <row r="231" spans="1:19">
      <c r="A231" s="961"/>
      <c r="B231" s="137"/>
      <c r="C231" s="53">
        <f t="shared" si="38"/>
        <v>1</v>
      </c>
      <c r="D231" s="959"/>
      <c r="E231" s="53">
        <f t="shared" si="39"/>
        <v>1</v>
      </c>
      <c r="F231" s="959"/>
      <c r="G231" s="53">
        <f t="shared" si="40"/>
        <v>1</v>
      </c>
      <c r="H231" s="959"/>
      <c r="I231" s="53">
        <f t="shared" si="41"/>
        <v>1</v>
      </c>
      <c r="J231" s="959"/>
      <c r="K231" s="53">
        <f t="shared" si="42"/>
        <v>1</v>
      </c>
      <c r="L231" s="959"/>
      <c r="M231" s="53">
        <f t="shared" si="43"/>
        <v>1</v>
      </c>
      <c r="N231" s="959"/>
      <c r="O231" s="53">
        <f t="shared" si="44"/>
        <v>1</v>
      </c>
      <c r="P231" s="959"/>
      <c r="Q231" s="53">
        <f t="shared" si="45"/>
        <v>1</v>
      </c>
      <c r="R231" s="487">
        <f t="shared" si="46"/>
        <v>0</v>
      </c>
      <c r="S231" s="796">
        <f t="shared" si="47"/>
        <v>0</v>
      </c>
    </row>
    <row r="232" spans="1:19">
      <c r="A232" s="961"/>
      <c r="B232" s="137"/>
      <c r="C232" s="53">
        <f t="shared" si="38"/>
        <v>1</v>
      </c>
      <c r="D232" s="959"/>
      <c r="E232" s="53">
        <f t="shared" si="39"/>
        <v>1</v>
      </c>
      <c r="F232" s="959"/>
      <c r="G232" s="53">
        <f t="shared" si="40"/>
        <v>1</v>
      </c>
      <c r="H232" s="959"/>
      <c r="I232" s="53">
        <f t="shared" si="41"/>
        <v>1</v>
      </c>
      <c r="J232" s="959"/>
      <c r="K232" s="53">
        <f t="shared" si="42"/>
        <v>1</v>
      </c>
      <c r="L232" s="959"/>
      <c r="M232" s="53">
        <f t="shared" si="43"/>
        <v>1</v>
      </c>
      <c r="N232" s="959"/>
      <c r="O232" s="53">
        <f t="shared" si="44"/>
        <v>1</v>
      </c>
      <c r="P232" s="959"/>
      <c r="Q232" s="53">
        <f t="shared" si="45"/>
        <v>1</v>
      </c>
      <c r="R232" s="487">
        <f t="shared" si="46"/>
        <v>0</v>
      </c>
      <c r="S232" s="796">
        <f t="shared" si="47"/>
        <v>0</v>
      </c>
    </row>
    <row r="233" spans="1:19">
      <c r="A233" s="961"/>
      <c r="B233" s="137"/>
      <c r="C233" s="53">
        <f t="shared" si="38"/>
        <v>1</v>
      </c>
      <c r="D233" s="959"/>
      <c r="E233" s="53">
        <f t="shared" si="39"/>
        <v>1</v>
      </c>
      <c r="F233" s="959"/>
      <c r="G233" s="53">
        <f t="shared" si="40"/>
        <v>1</v>
      </c>
      <c r="H233" s="959"/>
      <c r="I233" s="53">
        <f t="shared" si="41"/>
        <v>1</v>
      </c>
      <c r="J233" s="959"/>
      <c r="K233" s="53">
        <f t="shared" si="42"/>
        <v>1</v>
      </c>
      <c r="L233" s="959"/>
      <c r="M233" s="53">
        <f t="shared" si="43"/>
        <v>1</v>
      </c>
      <c r="N233" s="959"/>
      <c r="O233" s="53">
        <f t="shared" si="44"/>
        <v>1</v>
      </c>
      <c r="P233" s="959"/>
      <c r="Q233" s="53">
        <f t="shared" si="45"/>
        <v>1</v>
      </c>
      <c r="R233" s="487">
        <f t="shared" si="46"/>
        <v>0</v>
      </c>
      <c r="S233" s="796">
        <f t="shared" si="47"/>
        <v>0</v>
      </c>
    </row>
    <row r="234" spans="1:19">
      <c r="A234" s="961"/>
      <c r="B234" s="137"/>
      <c r="C234" s="53">
        <f t="shared" si="38"/>
        <v>1</v>
      </c>
      <c r="D234" s="959"/>
      <c r="E234" s="53">
        <f t="shared" si="39"/>
        <v>1</v>
      </c>
      <c r="F234" s="959"/>
      <c r="G234" s="53">
        <f t="shared" si="40"/>
        <v>1</v>
      </c>
      <c r="H234" s="959"/>
      <c r="I234" s="53">
        <f t="shared" si="41"/>
        <v>1</v>
      </c>
      <c r="J234" s="959"/>
      <c r="K234" s="53">
        <f t="shared" si="42"/>
        <v>1</v>
      </c>
      <c r="L234" s="959"/>
      <c r="M234" s="53">
        <f t="shared" si="43"/>
        <v>1</v>
      </c>
      <c r="N234" s="959"/>
      <c r="O234" s="53">
        <f t="shared" si="44"/>
        <v>1</v>
      </c>
      <c r="P234" s="959"/>
      <c r="Q234" s="53">
        <f t="shared" si="45"/>
        <v>1</v>
      </c>
      <c r="R234" s="487">
        <f t="shared" si="46"/>
        <v>0</v>
      </c>
      <c r="S234" s="796">
        <f t="shared" si="47"/>
        <v>0</v>
      </c>
    </row>
    <row r="235" spans="1:19">
      <c r="A235" s="961"/>
      <c r="B235" s="137"/>
      <c r="C235" s="53">
        <f t="shared" si="38"/>
        <v>1</v>
      </c>
      <c r="D235" s="959"/>
      <c r="E235" s="53">
        <f t="shared" si="39"/>
        <v>1</v>
      </c>
      <c r="F235" s="959"/>
      <c r="G235" s="53">
        <f t="shared" si="40"/>
        <v>1</v>
      </c>
      <c r="H235" s="959"/>
      <c r="I235" s="53">
        <f t="shared" si="41"/>
        <v>1</v>
      </c>
      <c r="J235" s="959"/>
      <c r="K235" s="53">
        <f t="shared" si="42"/>
        <v>1</v>
      </c>
      <c r="L235" s="959"/>
      <c r="M235" s="53">
        <f t="shared" si="43"/>
        <v>1</v>
      </c>
      <c r="N235" s="959"/>
      <c r="O235" s="53">
        <f t="shared" si="44"/>
        <v>1</v>
      </c>
      <c r="P235" s="959"/>
      <c r="Q235" s="53">
        <f t="shared" si="45"/>
        <v>1</v>
      </c>
      <c r="R235" s="487">
        <f t="shared" si="46"/>
        <v>0</v>
      </c>
      <c r="S235" s="796">
        <f t="shared" si="47"/>
        <v>0</v>
      </c>
    </row>
    <row r="236" spans="1:19">
      <c r="A236" s="961"/>
      <c r="B236" s="137"/>
      <c r="C236" s="53">
        <f t="shared" si="38"/>
        <v>1</v>
      </c>
      <c r="D236" s="959"/>
      <c r="E236" s="53">
        <f t="shared" si="39"/>
        <v>1</v>
      </c>
      <c r="F236" s="959"/>
      <c r="G236" s="53">
        <f t="shared" si="40"/>
        <v>1</v>
      </c>
      <c r="H236" s="959"/>
      <c r="I236" s="53">
        <f t="shared" si="41"/>
        <v>1</v>
      </c>
      <c r="J236" s="959"/>
      <c r="K236" s="53">
        <f t="shared" si="42"/>
        <v>1</v>
      </c>
      <c r="L236" s="959"/>
      <c r="M236" s="53">
        <f t="shared" si="43"/>
        <v>1</v>
      </c>
      <c r="N236" s="959"/>
      <c r="O236" s="53">
        <f t="shared" si="44"/>
        <v>1</v>
      </c>
      <c r="P236" s="959"/>
      <c r="Q236" s="53">
        <f t="shared" si="45"/>
        <v>1</v>
      </c>
      <c r="R236" s="487">
        <f t="shared" si="46"/>
        <v>0</v>
      </c>
      <c r="S236" s="796">
        <f t="shared" si="47"/>
        <v>0</v>
      </c>
    </row>
    <row r="237" spans="1:19">
      <c r="A237" s="961"/>
      <c r="B237" s="137"/>
      <c r="C237" s="53">
        <f t="shared" si="38"/>
        <v>1</v>
      </c>
      <c r="D237" s="959"/>
      <c r="E237" s="53">
        <f t="shared" si="39"/>
        <v>1</v>
      </c>
      <c r="F237" s="959"/>
      <c r="G237" s="53">
        <f t="shared" si="40"/>
        <v>1</v>
      </c>
      <c r="H237" s="959"/>
      <c r="I237" s="53">
        <f t="shared" si="41"/>
        <v>1</v>
      </c>
      <c r="J237" s="959"/>
      <c r="K237" s="53">
        <f t="shared" si="42"/>
        <v>1</v>
      </c>
      <c r="L237" s="959"/>
      <c r="M237" s="53">
        <f t="shared" si="43"/>
        <v>1</v>
      </c>
      <c r="N237" s="959"/>
      <c r="O237" s="53">
        <f t="shared" si="44"/>
        <v>1</v>
      </c>
      <c r="P237" s="959"/>
      <c r="Q237" s="53">
        <f t="shared" si="45"/>
        <v>1</v>
      </c>
      <c r="R237" s="487">
        <f t="shared" si="46"/>
        <v>0</v>
      </c>
      <c r="S237" s="796">
        <f t="shared" si="47"/>
        <v>0</v>
      </c>
    </row>
    <row r="238" spans="1:19">
      <c r="A238" s="961"/>
      <c r="B238" s="137"/>
      <c r="C238" s="53">
        <f t="shared" si="38"/>
        <v>1</v>
      </c>
      <c r="D238" s="959"/>
      <c r="E238" s="53">
        <f t="shared" si="39"/>
        <v>1</v>
      </c>
      <c r="F238" s="959"/>
      <c r="G238" s="53">
        <f t="shared" si="40"/>
        <v>1</v>
      </c>
      <c r="H238" s="959"/>
      <c r="I238" s="53">
        <f t="shared" si="41"/>
        <v>1</v>
      </c>
      <c r="J238" s="959"/>
      <c r="K238" s="53">
        <f t="shared" si="42"/>
        <v>1</v>
      </c>
      <c r="L238" s="959"/>
      <c r="M238" s="53">
        <f t="shared" si="43"/>
        <v>1</v>
      </c>
      <c r="N238" s="959"/>
      <c r="O238" s="53">
        <f t="shared" si="44"/>
        <v>1</v>
      </c>
      <c r="P238" s="959"/>
      <c r="Q238" s="53">
        <f t="shared" si="45"/>
        <v>1</v>
      </c>
      <c r="R238" s="487">
        <f t="shared" si="46"/>
        <v>0</v>
      </c>
      <c r="S238" s="796">
        <f t="shared" si="47"/>
        <v>0</v>
      </c>
    </row>
    <row r="239" spans="1:19">
      <c r="A239" s="961"/>
      <c r="B239" s="137"/>
      <c r="C239" s="53">
        <f t="shared" si="38"/>
        <v>1</v>
      </c>
      <c r="D239" s="959"/>
      <c r="E239" s="53">
        <f t="shared" si="39"/>
        <v>1</v>
      </c>
      <c r="F239" s="959"/>
      <c r="G239" s="53">
        <f t="shared" si="40"/>
        <v>1</v>
      </c>
      <c r="H239" s="959"/>
      <c r="I239" s="53">
        <f t="shared" si="41"/>
        <v>1</v>
      </c>
      <c r="J239" s="959"/>
      <c r="K239" s="53">
        <f t="shared" si="42"/>
        <v>1</v>
      </c>
      <c r="L239" s="959"/>
      <c r="M239" s="53">
        <f t="shared" si="43"/>
        <v>1</v>
      </c>
      <c r="N239" s="959"/>
      <c r="O239" s="53">
        <f t="shared" si="44"/>
        <v>1</v>
      </c>
      <c r="P239" s="959"/>
      <c r="Q239" s="53">
        <f t="shared" si="45"/>
        <v>1</v>
      </c>
      <c r="R239" s="487">
        <f t="shared" si="46"/>
        <v>0</v>
      </c>
      <c r="S239" s="796">
        <f t="shared" si="47"/>
        <v>0</v>
      </c>
    </row>
    <row r="240" spans="1:19">
      <c r="A240" s="961"/>
      <c r="B240" s="137"/>
      <c r="C240" s="53">
        <f t="shared" si="38"/>
        <v>1</v>
      </c>
      <c r="D240" s="959"/>
      <c r="E240" s="53">
        <f t="shared" si="39"/>
        <v>1</v>
      </c>
      <c r="F240" s="959"/>
      <c r="G240" s="53">
        <f t="shared" si="40"/>
        <v>1</v>
      </c>
      <c r="H240" s="959"/>
      <c r="I240" s="53">
        <f t="shared" si="41"/>
        <v>1</v>
      </c>
      <c r="J240" s="959"/>
      <c r="K240" s="53">
        <f t="shared" si="42"/>
        <v>1</v>
      </c>
      <c r="L240" s="959"/>
      <c r="M240" s="53">
        <f t="shared" si="43"/>
        <v>1</v>
      </c>
      <c r="N240" s="959"/>
      <c r="O240" s="53">
        <f t="shared" si="44"/>
        <v>1</v>
      </c>
      <c r="P240" s="959"/>
      <c r="Q240" s="53">
        <f t="shared" si="45"/>
        <v>1</v>
      </c>
      <c r="R240" s="487">
        <f t="shared" si="46"/>
        <v>0</v>
      </c>
      <c r="S240" s="796">
        <f t="shared" si="47"/>
        <v>0</v>
      </c>
    </row>
    <row r="241" spans="1:19">
      <c r="A241" s="961"/>
      <c r="B241" s="137"/>
      <c r="C241" s="53">
        <f t="shared" si="38"/>
        <v>1</v>
      </c>
      <c r="D241" s="959"/>
      <c r="E241" s="53">
        <f t="shared" si="39"/>
        <v>1</v>
      </c>
      <c r="F241" s="959"/>
      <c r="G241" s="53">
        <f t="shared" si="40"/>
        <v>1</v>
      </c>
      <c r="H241" s="959"/>
      <c r="I241" s="53">
        <f t="shared" si="41"/>
        <v>1</v>
      </c>
      <c r="J241" s="959"/>
      <c r="K241" s="53">
        <f t="shared" si="42"/>
        <v>1</v>
      </c>
      <c r="L241" s="959"/>
      <c r="M241" s="53">
        <f t="shared" si="43"/>
        <v>1</v>
      </c>
      <c r="N241" s="959"/>
      <c r="O241" s="53">
        <f t="shared" si="44"/>
        <v>1</v>
      </c>
      <c r="P241" s="959"/>
      <c r="Q241" s="53">
        <f t="shared" si="45"/>
        <v>1</v>
      </c>
      <c r="R241" s="487">
        <f t="shared" si="46"/>
        <v>0</v>
      </c>
      <c r="S241" s="796">
        <f t="shared" si="47"/>
        <v>0</v>
      </c>
    </row>
    <row r="242" spans="1:19">
      <c r="A242" s="961"/>
      <c r="B242" s="137"/>
      <c r="C242" s="53">
        <f t="shared" si="38"/>
        <v>1</v>
      </c>
      <c r="D242" s="959"/>
      <c r="E242" s="53">
        <f t="shared" si="39"/>
        <v>1</v>
      </c>
      <c r="F242" s="959"/>
      <c r="G242" s="53">
        <f t="shared" si="40"/>
        <v>1</v>
      </c>
      <c r="H242" s="959"/>
      <c r="I242" s="53">
        <f t="shared" si="41"/>
        <v>1</v>
      </c>
      <c r="J242" s="959"/>
      <c r="K242" s="53">
        <f t="shared" si="42"/>
        <v>1</v>
      </c>
      <c r="L242" s="959"/>
      <c r="M242" s="53">
        <f t="shared" si="43"/>
        <v>1</v>
      </c>
      <c r="N242" s="959"/>
      <c r="O242" s="53">
        <f t="shared" si="44"/>
        <v>1</v>
      </c>
      <c r="P242" s="959"/>
      <c r="Q242" s="53">
        <f t="shared" si="45"/>
        <v>1</v>
      </c>
      <c r="R242" s="487">
        <f t="shared" si="46"/>
        <v>0</v>
      </c>
      <c r="S242" s="796">
        <f t="shared" si="47"/>
        <v>0</v>
      </c>
    </row>
    <row r="243" spans="1:19">
      <c r="A243" s="961"/>
      <c r="B243" s="137"/>
      <c r="C243" s="53">
        <f t="shared" si="38"/>
        <v>1</v>
      </c>
      <c r="D243" s="959"/>
      <c r="E243" s="53">
        <f t="shared" si="39"/>
        <v>1</v>
      </c>
      <c r="F243" s="959"/>
      <c r="G243" s="53">
        <f t="shared" si="40"/>
        <v>1</v>
      </c>
      <c r="H243" s="959"/>
      <c r="I243" s="53">
        <f t="shared" si="41"/>
        <v>1</v>
      </c>
      <c r="J243" s="959"/>
      <c r="K243" s="53">
        <f t="shared" si="42"/>
        <v>1</v>
      </c>
      <c r="L243" s="959"/>
      <c r="M243" s="53">
        <f t="shared" si="43"/>
        <v>1</v>
      </c>
      <c r="N243" s="959"/>
      <c r="O243" s="53">
        <f t="shared" si="44"/>
        <v>1</v>
      </c>
      <c r="P243" s="959"/>
      <c r="Q243" s="53">
        <f t="shared" si="45"/>
        <v>1</v>
      </c>
      <c r="R243" s="487">
        <f t="shared" si="46"/>
        <v>0</v>
      </c>
      <c r="S243" s="796">
        <f t="shared" si="47"/>
        <v>0</v>
      </c>
    </row>
    <row r="244" spans="1:19">
      <c r="A244" s="961"/>
      <c r="B244" s="137"/>
      <c r="C244" s="53">
        <f t="shared" si="38"/>
        <v>1</v>
      </c>
      <c r="D244" s="959"/>
      <c r="E244" s="53">
        <f t="shared" si="39"/>
        <v>1</v>
      </c>
      <c r="F244" s="959"/>
      <c r="G244" s="53">
        <f t="shared" si="40"/>
        <v>1</v>
      </c>
      <c r="H244" s="959"/>
      <c r="I244" s="53">
        <f t="shared" si="41"/>
        <v>1</v>
      </c>
      <c r="J244" s="959"/>
      <c r="K244" s="53">
        <f t="shared" si="42"/>
        <v>1</v>
      </c>
      <c r="L244" s="959"/>
      <c r="M244" s="53">
        <f t="shared" si="43"/>
        <v>1</v>
      </c>
      <c r="N244" s="959"/>
      <c r="O244" s="53">
        <f t="shared" si="44"/>
        <v>1</v>
      </c>
      <c r="P244" s="959"/>
      <c r="Q244" s="53">
        <f t="shared" si="45"/>
        <v>1</v>
      </c>
      <c r="R244" s="487">
        <f t="shared" si="46"/>
        <v>0</v>
      </c>
      <c r="S244" s="796">
        <f t="shared" si="47"/>
        <v>0</v>
      </c>
    </row>
    <row r="245" spans="1:19">
      <c r="A245" s="961"/>
      <c r="B245" s="137"/>
      <c r="C245" s="53">
        <f t="shared" si="38"/>
        <v>1</v>
      </c>
      <c r="D245" s="959"/>
      <c r="E245" s="53">
        <f t="shared" si="39"/>
        <v>1</v>
      </c>
      <c r="F245" s="959"/>
      <c r="G245" s="53">
        <f t="shared" si="40"/>
        <v>1</v>
      </c>
      <c r="H245" s="959"/>
      <c r="I245" s="53">
        <f t="shared" si="41"/>
        <v>1</v>
      </c>
      <c r="J245" s="959"/>
      <c r="K245" s="53">
        <f t="shared" si="42"/>
        <v>1</v>
      </c>
      <c r="L245" s="959"/>
      <c r="M245" s="53">
        <f t="shared" si="43"/>
        <v>1</v>
      </c>
      <c r="N245" s="959"/>
      <c r="O245" s="53">
        <f t="shared" si="44"/>
        <v>1</v>
      </c>
      <c r="P245" s="959"/>
      <c r="Q245" s="53">
        <f t="shared" si="45"/>
        <v>1</v>
      </c>
      <c r="R245" s="487">
        <f t="shared" si="46"/>
        <v>0</v>
      </c>
      <c r="S245" s="796">
        <f t="shared" si="47"/>
        <v>0</v>
      </c>
    </row>
    <row r="246" spans="1:19">
      <c r="A246" s="961"/>
      <c r="B246" s="137"/>
      <c r="C246" s="53">
        <f t="shared" si="38"/>
        <v>1</v>
      </c>
      <c r="D246" s="959"/>
      <c r="E246" s="53">
        <f t="shared" si="39"/>
        <v>1</v>
      </c>
      <c r="F246" s="959"/>
      <c r="G246" s="53">
        <f t="shared" si="40"/>
        <v>1</v>
      </c>
      <c r="H246" s="959"/>
      <c r="I246" s="53">
        <f t="shared" si="41"/>
        <v>1</v>
      </c>
      <c r="J246" s="959"/>
      <c r="K246" s="53">
        <f t="shared" si="42"/>
        <v>1</v>
      </c>
      <c r="L246" s="959"/>
      <c r="M246" s="53">
        <f t="shared" si="43"/>
        <v>1</v>
      </c>
      <c r="N246" s="959"/>
      <c r="O246" s="53">
        <f t="shared" si="44"/>
        <v>1</v>
      </c>
      <c r="P246" s="959"/>
      <c r="Q246" s="53">
        <f t="shared" si="45"/>
        <v>1</v>
      </c>
      <c r="R246" s="487">
        <f t="shared" si="46"/>
        <v>0</v>
      </c>
      <c r="S246" s="796">
        <f t="shared" si="47"/>
        <v>0</v>
      </c>
    </row>
    <row r="247" spans="1:19">
      <c r="A247" s="961"/>
      <c r="B247" s="137"/>
      <c r="C247" s="53">
        <f t="shared" si="38"/>
        <v>1</v>
      </c>
      <c r="D247" s="959"/>
      <c r="E247" s="53">
        <f t="shared" si="39"/>
        <v>1</v>
      </c>
      <c r="F247" s="959"/>
      <c r="G247" s="53">
        <f t="shared" si="40"/>
        <v>1</v>
      </c>
      <c r="H247" s="959"/>
      <c r="I247" s="53">
        <f t="shared" si="41"/>
        <v>1</v>
      </c>
      <c r="J247" s="959"/>
      <c r="K247" s="53">
        <f t="shared" si="42"/>
        <v>1</v>
      </c>
      <c r="L247" s="959"/>
      <c r="M247" s="53">
        <f t="shared" si="43"/>
        <v>1</v>
      </c>
      <c r="N247" s="959"/>
      <c r="O247" s="53">
        <f t="shared" si="44"/>
        <v>1</v>
      </c>
      <c r="P247" s="959"/>
      <c r="Q247" s="53">
        <f t="shared" si="45"/>
        <v>1</v>
      </c>
      <c r="R247" s="487">
        <f t="shared" si="46"/>
        <v>0</v>
      </c>
      <c r="S247" s="796">
        <f t="shared" si="47"/>
        <v>0</v>
      </c>
    </row>
    <row r="248" spans="1:19">
      <c r="A248" s="961"/>
      <c r="B248" s="137"/>
      <c r="C248" s="53">
        <f t="shared" si="38"/>
        <v>1</v>
      </c>
      <c r="D248" s="959"/>
      <c r="E248" s="53">
        <f t="shared" si="39"/>
        <v>1</v>
      </c>
      <c r="F248" s="959"/>
      <c r="G248" s="53">
        <f t="shared" si="40"/>
        <v>1</v>
      </c>
      <c r="H248" s="959"/>
      <c r="I248" s="53">
        <f t="shared" si="41"/>
        <v>1</v>
      </c>
      <c r="J248" s="959"/>
      <c r="K248" s="53">
        <f t="shared" si="42"/>
        <v>1</v>
      </c>
      <c r="L248" s="959"/>
      <c r="M248" s="53">
        <f t="shared" si="43"/>
        <v>1</v>
      </c>
      <c r="N248" s="959"/>
      <c r="O248" s="53">
        <f t="shared" si="44"/>
        <v>1</v>
      </c>
      <c r="P248" s="959"/>
      <c r="Q248" s="53">
        <f t="shared" si="45"/>
        <v>1</v>
      </c>
      <c r="R248" s="487">
        <f t="shared" si="46"/>
        <v>0</v>
      </c>
      <c r="S248" s="796">
        <f t="shared" si="47"/>
        <v>0</v>
      </c>
    </row>
    <row r="249" spans="1:19">
      <c r="A249" s="961"/>
      <c r="B249" s="137"/>
      <c r="C249" s="53">
        <f t="shared" si="38"/>
        <v>1</v>
      </c>
      <c r="D249" s="959"/>
      <c r="E249" s="53">
        <f t="shared" si="39"/>
        <v>1</v>
      </c>
      <c r="F249" s="959"/>
      <c r="G249" s="53">
        <f t="shared" si="40"/>
        <v>1</v>
      </c>
      <c r="H249" s="959"/>
      <c r="I249" s="53">
        <f t="shared" si="41"/>
        <v>1</v>
      </c>
      <c r="J249" s="959"/>
      <c r="K249" s="53">
        <f t="shared" si="42"/>
        <v>1</v>
      </c>
      <c r="L249" s="959"/>
      <c r="M249" s="53">
        <f t="shared" si="43"/>
        <v>1</v>
      </c>
      <c r="N249" s="959"/>
      <c r="O249" s="53">
        <f t="shared" si="44"/>
        <v>1</v>
      </c>
      <c r="P249" s="959"/>
      <c r="Q249" s="53">
        <f t="shared" si="45"/>
        <v>1</v>
      </c>
      <c r="R249" s="487">
        <f t="shared" si="46"/>
        <v>0</v>
      </c>
      <c r="S249" s="796">
        <f t="shared" si="47"/>
        <v>0</v>
      </c>
    </row>
    <row r="250" spans="1:19">
      <c r="A250" s="961"/>
      <c r="B250" s="137"/>
      <c r="C250" s="53">
        <f t="shared" si="38"/>
        <v>1</v>
      </c>
      <c r="D250" s="959"/>
      <c r="E250" s="53">
        <f t="shared" si="39"/>
        <v>1</v>
      </c>
      <c r="F250" s="959"/>
      <c r="G250" s="53">
        <f t="shared" si="40"/>
        <v>1</v>
      </c>
      <c r="H250" s="959"/>
      <c r="I250" s="53">
        <f t="shared" si="41"/>
        <v>1</v>
      </c>
      <c r="J250" s="959"/>
      <c r="K250" s="53">
        <f t="shared" si="42"/>
        <v>1</v>
      </c>
      <c r="L250" s="959"/>
      <c r="M250" s="53">
        <f t="shared" si="43"/>
        <v>1</v>
      </c>
      <c r="N250" s="959"/>
      <c r="O250" s="53">
        <f t="shared" si="44"/>
        <v>1</v>
      </c>
      <c r="P250" s="959"/>
      <c r="Q250" s="53">
        <f t="shared" si="45"/>
        <v>1</v>
      </c>
      <c r="R250" s="487">
        <f t="shared" si="46"/>
        <v>0</v>
      </c>
      <c r="S250" s="796">
        <f t="shared" si="47"/>
        <v>0</v>
      </c>
    </row>
    <row r="251" spans="1:19">
      <c r="A251" s="961"/>
      <c r="B251" s="137"/>
      <c r="C251" s="53">
        <f t="shared" si="38"/>
        <v>1</v>
      </c>
      <c r="D251" s="959"/>
      <c r="E251" s="53">
        <f t="shared" si="39"/>
        <v>1</v>
      </c>
      <c r="F251" s="959"/>
      <c r="G251" s="53">
        <f t="shared" si="40"/>
        <v>1</v>
      </c>
      <c r="H251" s="959"/>
      <c r="I251" s="53">
        <f t="shared" si="41"/>
        <v>1</v>
      </c>
      <c r="J251" s="959"/>
      <c r="K251" s="53">
        <f t="shared" si="42"/>
        <v>1</v>
      </c>
      <c r="L251" s="959"/>
      <c r="M251" s="53">
        <f t="shared" si="43"/>
        <v>1</v>
      </c>
      <c r="N251" s="959"/>
      <c r="O251" s="53">
        <f t="shared" si="44"/>
        <v>1</v>
      </c>
      <c r="P251" s="959"/>
      <c r="Q251" s="53">
        <f t="shared" si="45"/>
        <v>1</v>
      </c>
      <c r="R251" s="487">
        <f t="shared" si="46"/>
        <v>0</v>
      </c>
      <c r="S251" s="796">
        <f t="shared" si="47"/>
        <v>0</v>
      </c>
    </row>
    <row r="252" spans="1:19">
      <c r="A252" s="961"/>
      <c r="B252" s="137"/>
      <c r="C252" s="53">
        <f t="shared" si="38"/>
        <v>1</v>
      </c>
      <c r="D252" s="959"/>
      <c r="E252" s="53">
        <f t="shared" si="39"/>
        <v>1</v>
      </c>
      <c r="F252" s="959"/>
      <c r="G252" s="53">
        <f t="shared" si="40"/>
        <v>1</v>
      </c>
      <c r="H252" s="959"/>
      <c r="I252" s="53">
        <f t="shared" si="41"/>
        <v>1</v>
      </c>
      <c r="J252" s="959"/>
      <c r="K252" s="53">
        <f t="shared" si="42"/>
        <v>1</v>
      </c>
      <c r="L252" s="959"/>
      <c r="M252" s="53">
        <f t="shared" si="43"/>
        <v>1</v>
      </c>
      <c r="N252" s="959"/>
      <c r="O252" s="53">
        <f t="shared" si="44"/>
        <v>1</v>
      </c>
      <c r="P252" s="959"/>
      <c r="Q252" s="53">
        <f t="shared" si="45"/>
        <v>1</v>
      </c>
      <c r="R252" s="487">
        <f t="shared" si="46"/>
        <v>0</v>
      </c>
      <c r="S252" s="796">
        <f t="shared" si="47"/>
        <v>0</v>
      </c>
    </row>
    <row r="253" spans="1:19">
      <c r="A253" s="961"/>
      <c r="B253" s="137"/>
      <c r="C253" s="53">
        <f t="shared" si="38"/>
        <v>1</v>
      </c>
      <c r="D253" s="959"/>
      <c r="E253" s="53">
        <f t="shared" si="39"/>
        <v>1</v>
      </c>
      <c r="F253" s="959"/>
      <c r="G253" s="53">
        <f t="shared" si="40"/>
        <v>1</v>
      </c>
      <c r="H253" s="959"/>
      <c r="I253" s="53">
        <f t="shared" si="41"/>
        <v>1</v>
      </c>
      <c r="J253" s="959"/>
      <c r="K253" s="53">
        <f t="shared" si="42"/>
        <v>1</v>
      </c>
      <c r="L253" s="959"/>
      <c r="M253" s="53">
        <f t="shared" si="43"/>
        <v>1</v>
      </c>
      <c r="N253" s="959"/>
      <c r="O253" s="53">
        <f t="shared" si="44"/>
        <v>1</v>
      </c>
      <c r="P253" s="959"/>
      <c r="Q253" s="53">
        <f t="shared" si="45"/>
        <v>1</v>
      </c>
      <c r="R253" s="487">
        <f t="shared" si="46"/>
        <v>0</v>
      </c>
      <c r="S253" s="796">
        <f t="shared" si="47"/>
        <v>0</v>
      </c>
    </row>
    <row r="254" spans="1:19">
      <c r="A254" s="961"/>
      <c r="B254" s="137"/>
      <c r="C254" s="53">
        <f t="shared" si="38"/>
        <v>1</v>
      </c>
      <c r="D254" s="959"/>
      <c r="E254" s="53">
        <f t="shared" si="39"/>
        <v>1</v>
      </c>
      <c r="F254" s="959"/>
      <c r="G254" s="53">
        <f t="shared" si="40"/>
        <v>1</v>
      </c>
      <c r="H254" s="959"/>
      <c r="I254" s="53">
        <f t="shared" si="41"/>
        <v>1</v>
      </c>
      <c r="J254" s="959"/>
      <c r="K254" s="53">
        <f t="shared" si="42"/>
        <v>1</v>
      </c>
      <c r="L254" s="959"/>
      <c r="M254" s="53">
        <f t="shared" si="43"/>
        <v>1</v>
      </c>
      <c r="N254" s="959"/>
      <c r="O254" s="53">
        <f t="shared" si="44"/>
        <v>1</v>
      </c>
      <c r="P254" s="959"/>
      <c r="Q254" s="53">
        <f t="shared" si="45"/>
        <v>1</v>
      </c>
      <c r="R254" s="487">
        <f t="shared" si="46"/>
        <v>0</v>
      </c>
      <c r="S254" s="796">
        <f t="shared" si="47"/>
        <v>0</v>
      </c>
    </row>
    <row r="255" spans="1:19">
      <c r="A255" s="961"/>
      <c r="B255" s="137"/>
      <c r="C255" s="53">
        <f t="shared" si="38"/>
        <v>1</v>
      </c>
      <c r="D255" s="959"/>
      <c r="E255" s="53">
        <f t="shared" si="39"/>
        <v>1</v>
      </c>
      <c r="F255" s="959"/>
      <c r="G255" s="53">
        <f t="shared" si="40"/>
        <v>1</v>
      </c>
      <c r="H255" s="959"/>
      <c r="I255" s="53">
        <f t="shared" si="41"/>
        <v>1</v>
      </c>
      <c r="J255" s="959"/>
      <c r="K255" s="53">
        <f t="shared" si="42"/>
        <v>1</v>
      </c>
      <c r="L255" s="959"/>
      <c r="M255" s="53">
        <f t="shared" si="43"/>
        <v>1</v>
      </c>
      <c r="N255" s="959"/>
      <c r="O255" s="53">
        <f t="shared" si="44"/>
        <v>1</v>
      </c>
      <c r="P255" s="959"/>
      <c r="Q255" s="53">
        <f t="shared" si="45"/>
        <v>1</v>
      </c>
      <c r="R255" s="487">
        <f t="shared" si="46"/>
        <v>0</v>
      </c>
      <c r="S255" s="796">
        <f t="shared" si="47"/>
        <v>0</v>
      </c>
    </row>
    <row r="256" spans="1:19">
      <c r="A256" s="961"/>
      <c r="B256" s="137"/>
      <c r="C256" s="53">
        <f t="shared" si="38"/>
        <v>1</v>
      </c>
      <c r="D256" s="959"/>
      <c r="E256" s="53">
        <f t="shared" si="39"/>
        <v>1</v>
      </c>
      <c r="F256" s="959"/>
      <c r="G256" s="53">
        <f t="shared" si="40"/>
        <v>1</v>
      </c>
      <c r="H256" s="959"/>
      <c r="I256" s="53">
        <f t="shared" si="41"/>
        <v>1</v>
      </c>
      <c r="J256" s="959"/>
      <c r="K256" s="53">
        <f t="shared" si="42"/>
        <v>1</v>
      </c>
      <c r="L256" s="959"/>
      <c r="M256" s="53">
        <f t="shared" si="43"/>
        <v>1</v>
      </c>
      <c r="N256" s="959"/>
      <c r="O256" s="53">
        <f t="shared" si="44"/>
        <v>1</v>
      </c>
      <c r="P256" s="959"/>
      <c r="Q256" s="53">
        <f t="shared" si="45"/>
        <v>1</v>
      </c>
      <c r="R256" s="487">
        <f t="shared" si="46"/>
        <v>0</v>
      </c>
      <c r="S256" s="796">
        <f t="shared" si="47"/>
        <v>0</v>
      </c>
    </row>
    <row r="257" spans="1:19">
      <c r="A257" s="961"/>
      <c r="B257" s="137"/>
      <c r="C257" s="53">
        <f t="shared" si="38"/>
        <v>1</v>
      </c>
      <c r="D257" s="959"/>
      <c r="E257" s="53">
        <f t="shared" si="39"/>
        <v>1</v>
      </c>
      <c r="F257" s="959"/>
      <c r="G257" s="53">
        <f t="shared" si="40"/>
        <v>1</v>
      </c>
      <c r="H257" s="959"/>
      <c r="I257" s="53">
        <f t="shared" si="41"/>
        <v>1</v>
      </c>
      <c r="J257" s="959"/>
      <c r="K257" s="53">
        <f t="shared" si="42"/>
        <v>1</v>
      </c>
      <c r="L257" s="959"/>
      <c r="M257" s="53">
        <f t="shared" si="43"/>
        <v>1</v>
      </c>
      <c r="N257" s="959"/>
      <c r="O257" s="53">
        <f t="shared" si="44"/>
        <v>1</v>
      </c>
      <c r="P257" s="959"/>
      <c r="Q257" s="53">
        <f t="shared" si="45"/>
        <v>1</v>
      </c>
      <c r="R257" s="487">
        <f t="shared" si="46"/>
        <v>0</v>
      </c>
      <c r="S257" s="796">
        <f t="shared" si="47"/>
        <v>0</v>
      </c>
    </row>
    <row r="258" spans="1:19">
      <c r="A258" s="961"/>
      <c r="B258" s="137"/>
      <c r="C258" s="53">
        <f t="shared" si="38"/>
        <v>1</v>
      </c>
      <c r="D258" s="959"/>
      <c r="E258" s="53">
        <f t="shared" si="39"/>
        <v>1</v>
      </c>
      <c r="F258" s="959"/>
      <c r="G258" s="53">
        <f t="shared" si="40"/>
        <v>1</v>
      </c>
      <c r="H258" s="959"/>
      <c r="I258" s="53">
        <f t="shared" si="41"/>
        <v>1</v>
      </c>
      <c r="J258" s="959"/>
      <c r="K258" s="53">
        <f t="shared" si="42"/>
        <v>1</v>
      </c>
      <c r="L258" s="959"/>
      <c r="M258" s="53">
        <f t="shared" si="43"/>
        <v>1</v>
      </c>
      <c r="N258" s="959"/>
      <c r="O258" s="53">
        <f t="shared" si="44"/>
        <v>1</v>
      </c>
      <c r="P258" s="959"/>
      <c r="Q258" s="53">
        <f t="shared" si="45"/>
        <v>1</v>
      </c>
      <c r="R258" s="487">
        <f t="shared" si="46"/>
        <v>0</v>
      </c>
      <c r="S258" s="796">
        <f t="shared" si="47"/>
        <v>0</v>
      </c>
    </row>
    <row r="259" spans="1:19">
      <c r="A259" s="961"/>
      <c r="B259" s="137"/>
      <c r="C259" s="53">
        <f t="shared" si="38"/>
        <v>1</v>
      </c>
      <c r="D259" s="959"/>
      <c r="E259" s="53">
        <f t="shared" si="39"/>
        <v>1</v>
      </c>
      <c r="F259" s="959"/>
      <c r="G259" s="53">
        <f t="shared" si="40"/>
        <v>1</v>
      </c>
      <c r="H259" s="959"/>
      <c r="I259" s="53">
        <f t="shared" si="41"/>
        <v>1</v>
      </c>
      <c r="J259" s="959"/>
      <c r="K259" s="53">
        <f t="shared" si="42"/>
        <v>1</v>
      </c>
      <c r="L259" s="959"/>
      <c r="M259" s="53">
        <f t="shared" si="43"/>
        <v>1</v>
      </c>
      <c r="N259" s="959"/>
      <c r="O259" s="53">
        <f t="shared" si="44"/>
        <v>1</v>
      </c>
      <c r="P259" s="959"/>
      <c r="Q259" s="53">
        <f t="shared" si="45"/>
        <v>1</v>
      </c>
      <c r="R259" s="487">
        <f t="shared" si="46"/>
        <v>0</v>
      </c>
      <c r="S259" s="796">
        <f t="shared" si="47"/>
        <v>0</v>
      </c>
    </row>
    <row r="260" spans="1:19">
      <c r="A260" s="961"/>
      <c r="B260" s="137"/>
      <c r="C260" s="53">
        <f t="shared" si="38"/>
        <v>1</v>
      </c>
      <c r="D260" s="959"/>
      <c r="E260" s="53">
        <f t="shared" si="39"/>
        <v>1</v>
      </c>
      <c r="F260" s="959"/>
      <c r="G260" s="53">
        <f t="shared" si="40"/>
        <v>1</v>
      </c>
      <c r="H260" s="959"/>
      <c r="I260" s="53">
        <f t="shared" si="41"/>
        <v>1</v>
      </c>
      <c r="J260" s="959"/>
      <c r="K260" s="53">
        <f t="shared" si="42"/>
        <v>1</v>
      </c>
      <c r="L260" s="959"/>
      <c r="M260" s="53">
        <f t="shared" si="43"/>
        <v>1</v>
      </c>
      <c r="N260" s="959"/>
      <c r="O260" s="53">
        <f t="shared" si="44"/>
        <v>1</v>
      </c>
      <c r="P260" s="959"/>
      <c r="Q260" s="53">
        <f t="shared" si="45"/>
        <v>1</v>
      </c>
      <c r="R260" s="487">
        <f t="shared" si="46"/>
        <v>0</v>
      </c>
      <c r="S260" s="796">
        <f t="shared" si="47"/>
        <v>0</v>
      </c>
    </row>
    <row r="261" spans="1:19">
      <c r="A261" s="961"/>
      <c r="B261" s="137"/>
      <c r="C261" s="53">
        <f t="shared" si="38"/>
        <v>1</v>
      </c>
      <c r="D261" s="959"/>
      <c r="E261" s="53">
        <f t="shared" si="39"/>
        <v>1</v>
      </c>
      <c r="F261" s="959"/>
      <c r="G261" s="53">
        <f t="shared" si="40"/>
        <v>1</v>
      </c>
      <c r="H261" s="959"/>
      <c r="I261" s="53">
        <f t="shared" si="41"/>
        <v>1</v>
      </c>
      <c r="J261" s="959"/>
      <c r="K261" s="53">
        <f t="shared" si="42"/>
        <v>1</v>
      </c>
      <c r="L261" s="959"/>
      <c r="M261" s="53">
        <f t="shared" si="43"/>
        <v>1</v>
      </c>
      <c r="N261" s="959"/>
      <c r="O261" s="53">
        <f t="shared" si="44"/>
        <v>1</v>
      </c>
      <c r="P261" s="959"/>
      <c r="Q261" s="53">
        <f t="shared" si="45"/>
        <v>1</v>
      </c>
      <c r="R261" s="487">
        <f t="shared" si="46"/>
        <v>0</v>
      </c>
      <c r="S261" s="796">
        <f t="shared" si="47"/>
        <v>0</v>
      </c>
    </row>
    <row r="262" spans="1:19">
      <c r="A262" s="961"/>
      <c r="B262" s="137"/>
      <c r="C262" s="53">
        <f t="shared" si="38"/>
        <v>1</v>
      </c>
      <c r="D262" s="959"/>
      <c r="E262" s="53">
        <f t="shared" si="39"/>
        <v>1</v>
      </c>
      <c r="F262" s="959"/>
      <c r="G262" s="53">
        <f t="shared" si="40"/>
        <v>1</v>
      </c>
      <c r="H262" s="959"/>
      <c r="I262" s="53">
        <f t="shared" si="41"/>
        <v>1</v>
      </c>
      <c r="J262" s="959"/>
      <c r="K262" s="53">
        <f t="shared" si="42"/>
        <v>1</v>
      </c>
      <c r="L262" s="959"/>
      <c r="M262" s="53">
        <f t="shared" si="43"/>
        <v>1</v>
      </c>
      <c r="N262" s="959"/>
      <c r="O262" s="53">
        <f t="shared" si="44"/>
        <v>1</v>
      </c>
      <c r="P262" s="959"/>
      <c r="Q262" s="53">
        <f t="shared" si="45"/>
        <v>1</v>
      </c>
      <c r="R262" s="487">
        <f t="shared" si="46"/>
        <v>0</v>
      </c>
      <c r="S262" s="796">
        <f t="shared" si="47"/>
        <v>0</v>
      </c>
    </row>
    <row r="263" spans="1:19">
      <c r="A263" s="961"/>
      <c r="B263" s="137"/>
      <c r="C263" s="53">
        <f t="shared" si="38"/>
        <v>1</v>
      </c>
      <c r="D263" s="959"/>
      <c r="E263" s="53">
        <f t="shared" si="39"/>
        <v>1</v>
      </c>
      <c r="F263" s="959"/>
      <c r="G263" s="53">
        <f t="shared" si="40"/>
        <v>1</v>
      </c>
      <c r="H263" s="959"/>
      <c r="I263" s="53">
        <f t="shared" si="41"/>
        <v>1</v>
      </c>
      <c r="J263" s="959"/>
      <c r="K263" s="53">
        <f t="shared" si="42"/>
        <v>1</v>
      </c>
      <c r="L263" s="959"/>
      <c r="M263" s="53">
        <f t="shared" si="43"/>
        <v>1</v>
      </c>
      <c r="N263" s="959"/>
      <c r="O263" s="53">
        <f t="shared" si="44"/>
        <v>1</v>
      </c>
      <c r="P263" s="959"/>
      <c r="Q263" s="53">
        <f t="shared" si="45"/>
        <v>1</v>
      </c>
      <c r="R263" s="487">
        <f t="shared" si="46"/>
        <v>0</v>
      </c>
      <c r="S263" s="796">
        <f t="shared" si="47"/>
        <v>0</v>
      </c>
    </row>
    <row r="264" spans="1:19">
      <c r="A264" s="961"/>
      <c r="B264" s="137"/>
      <c r="C264" s="53">
        <f t="shared" si="38"/>
        <v>1</v>
      </c>
      <c r="D264" s="959"/>
      <c r="E264" s="53">
        <f t="shared" si="39"/>
        <v>1</v>
      </c>
      <c r="F264" s="959"/>
      <c r="G264" s="53">
        <f t="shared" si="40"/>
        <v>1</v>
      </c>
      <c r="H264" s="959"/>
      <c r="I264" s="53">
        <f t="shared" si="41"/>
        <v>1</v>
      </c>
      <c r="J264" s="959"/>
      <c r="K264" s="53">
        <f t="shared" si="42"/>
        <v>1</v>
      </c>
      <c r="L264" s="959"/>
      <c r="M264" s="53">
        <f t="shared" si="43"/>
        <v>1</v>
      </c>
      <c r="N264" s="959"/>
      <c r="O264" s="53">
        <f t="shared" si="44"/>
        <v>1</v>
      </c>
      <c r="P264" s="959"/>
      <c r="Q264" s="53">
        <f t="shared" si="45"/>
        <v>1</v>
      </c>
      <c r="R264" s="487">
        <f t="shared" si="46"/>
        <v>0</v>
      </c>
      <c r="S264" s="796">
        <f t="shared" si="47"/>
        <v>0</v>
      </c>
    </row>
    <row r="265" spans="1:19">
      <c r="A265" s="961"/>
      <c r="B265" s="137"/>
      <c r="C265" s="53">
        <f t="shared" si="38"/>
        <v>1</v>
      </c>
      <c r="D265" s="959"/>
      <c r="E265" s="53">
        <f t="shared" si="39"/>
        <v>1</v>
      </c>
      <c r="F265" s="959"/>
      <c r="G265" s="53">
        <f t="shared" si="40"/>
        <v>1</v>
      </c>
      <c r="H265" s="959"/>
      <c r="I265" s="53">
        <f t="shared" si="41"/>
        <v>1</v>
      </c>
      <c r="J265" s="959"/>
      <c r="K265" s="53">
        <f t="shared" si="42"/>
        <v>1</v>
      </c>
      <c r="L265" s="959"/>
      <c r="M265" s="53">
        <f t="shared" si="43"/>
        <v>1</v>
      </c>
      <c r="N265" s="959"/>
      <c r="O265" s="53">
        <f t="shared" si="44"/>
        <v>1</v>
      </c>
      <c r="P265" s="959"/>
      <c r="Q265" s="53">
        <f t="shared" si="45"/>
        <v>1</v>
      </c>
      <c r="R265" s="487">
        <f t="shared" si="46"/>
        <v>0</v>
      </c>
      <c r="S265" s="796">
        <f t="shared" si="47"/>
        <v>0</v>
      </c>
    </row>
    <row r="266" spans="1:19">
      <c r="A266" s="961"/>
      <c r="B266" s="137"/>
      <c r="C266" s="53">
        <f t="shared" si="38"/>
        <v>1</v>
      </c>
      <c r="D266" s="959"/>
      <c r="E266" s="53">
        <f t="shared" si="39"/>
        <v>1</v>
      </c>
      <c r="F266" s="959"/>
      <c r="G266" s="53">
        <f t="shared" si="40"/>
        <v>1</v>
      </c>
      <c r="H266" s="959"/>
      <c r="I266" s="53">
        <f t="shared" si="41"/>
        <v>1</v>
      </c>
      <c r="J266" s="959"/>
      <c r="K266" s="53">
        <f t="shared" si="42"/>
        <v>1</v>
      </c>
      <c r="L266" s="959"/>
      <c r="M266" s="53">
        <f t="shared" si="43"/>
        <v>1</v>
      </c>
      <c r="N266" s="959"/>
      <c r="O266" s="53">
        <f t="shared" si="44"/>
        <v>1</v>
      </c>
      <c r="P266" s="959"/>
      <c r="Q266" s="53">
        <f t="shared" si="45"/>
        <v>1</v>
      </c>
      <c r="R266" s="487">
        <f t="shared" si="46"/>
        <v>0</v>
      </c>
      <c r="S266" s="796">
        <f t="shared" si="47"/>
        <v>0</v>
      </c>
    </row>
    <row r="267" spans="1:19">
      <c r="A267" s="961"/>
      <c r="B267" s="137"/>
      <c r="C267" s="53">
        <f t="shared" si="38"/>
        <v>1</v>
      </c>
      <c r="D267" s="959"/>
      <c r="E267" s="53">
        <f t="shared" si="39"/>
        <v>1</v>
      </c>
      <c r="F267" s="959"/>
      <c r="G267" s="53">
        <f t="shared" si="40"/>
        <v>1</v>
      </c>
      <c r="H267" s="959"/>
      <c r="I267" s="53">
        <f t="shared" si="41"/>
        <v>1</v>
      </c>
      <c r="J267" s="959"/>
      <c r="K267" s="53">
        <f t="shared" si="42"/>
        <v>1</v>
      </c>
      <c r="L267" s="959"/>
      <c r="M267" s="53">
        <f t="shared" si="43"/>
        <v>1</v>
      </c>
      <c r="N267" s="959"/>
      <c r="O267" s="53">
        <f t="shared" si="44"/>
        <v>1</v>
      </c>
      <c r="P267" s="959"/>
      <c r="Q267" s="53">
        <f t="shared" si="45"/>
        <v>1</v>
      </c>
      <c r="R267" s="487">
        <f t="shared" si="46"/>
        <v>0</v>
      </c>
      <c r="S267" s="796">
        <f t="shared" si="47"/>
        <v>0</v>
      </c>
    </row>
    <row r="268" spans="1:19">
      <c r="A268" s="961"/>
      <c r="B268" s="137"/>
      <c r="C268" s="53">
        <f t="shared" si="38"/>
        <v>1</v>
      </c>
      <c r="D268" s="959"/>
      <c r="E268" s="53">
        <f t="shared" si="39"/>
        <v>1</v>
      </c>
      <c r="F268" s="959"/>
      <c r="G268" s="53">
        <f t="shared" si="40"/>
        <v>1</v>
      </c>
      <c r="H268" s="959"/>
      <c r="I268" s="53">
        <f t="shared" si="41"/>
        <v>1</v>
      </c>
      <c r="J268" s="959"/>
      <c r="K268" s="53">
        <f t="shared" si="42"/>
        <v>1</v>
      </c>
      <c r="L268" s="959"/>
      <c r="M268" s="53">
        <f t="shared" si="43"/>
        <v>1</v>
      </c>
      <c r="N268" s="959"/>
      <c r="O268" s="53">
        <f t="shared" si="44"/>
        <v>1</v>
      </c>
      <c r="P268" s="959"/>
      <c r="Q268" s="53">
        <f t="shared" si="45"/>
        <v>1</v>
      </c>
      <c r="R268" s="487">
        <f t="shared" si="46"/>
        <v>0</v>
      </c>
      <c r="S268" s="796">
        <f t="shared" si="47"/>
        <v>0</v>
      </c>
    </row>
    <row r="269" spans="1:19">
      <c r="A269" s="961"/>
      <c r="B269" s="137"/>
      <c r="C269" s="53">
        <f t="shared" si="38"/>
        <v>1</v>
      </c>
      <c r="D269" s="959"/>
      <c r="E269" s="53">
        <f t="shared" si="39"/>
        <v>1</v>
      </c>
      <c r="F269" s="959"/>
      <c r="G269" s="53">
        <f t="shared" si="40"/>
        <v>1</v>
      </c>
      <c r="H269" s="959"/>
      <c r="I269" s="53">
        <f t="shared" si="41"/>
        <v>1</v>
      </c>
      <c r="J269" s="959"/>
      <c r="K269" s="53">
        <f t="shared" si="42"/>
        <v>1</v>
      </c>
      <c r="L269" s="959"/>
      <c r="M269" s="53">
        <f t="shared" si="43"/>
        <v>1</v>
      </c>
      <c r="N269" s="959"/>
      <c r="O269" s="53">
        <f t="shared" si="44"/>
        <v>1</v>
      </c>
      <c r="P269" s="959"/>
      <c r="Q269" s="53">
        <f t="shared" si="45"/>
        <v>1</v>
      </c>
      <c r="R269" s="487">
        <f t="shared" si="46"/>
        <v>0</v>
      </c>
      <c r="S269" s="796">
        <f t="shared" si="47"/>
        <v>0</v>
      </c>
    </row>
    <row r="270" spans="1:19">
      <c r="A270" s="961"/>
      <c r="B270" s="137"/>
      <c r="C270" s="53">
        <f t="shared" si="38"/>
        <v>1</v>
      </c>
      <c r="D270" s="959"/>
      <c r="E270" s="53">
        <f t="shared" si="39"/>
        <v>1</v>
      </c>
      <c r="F270" s="959"/>
      <c r="G270" s="53">
        <f t="shared" si="40"/>
        <v>1</v>
      </c>
      <c r="H270" s="959"/>
      <c r="I270" s="53">
        <f t="shared" si="41"/>
        <v>1</v>
      </c>
      <c r="J270" s="959"/>
      <c r="K270" s="53">
        <f t="shared" si="42"/>
        <v>1</v>
      </c>
      <c r="L270" s="959"/>
      <c r="M270" s="53">
        <f t="shared" si="43"/>
        <v>1</v>
      </c>
      <c r="N270" s="959"/>
      <c r="O270" s="53">
        <f t="shared" si="44"/>
        <v>1</v>
      </c>
      <c r="P270" s="959"/>
      <c r="Q270" s="53">
        <f t="shared" si="45"/>
        <v>1</v>
      </c>
      <c r="R270" s="487">
        <f t="shared" si="46"/>
        <v>0</v>
      </c>
      <c r="S270" s="796">
        <f t="shared" si="47"/>
        <v>0</v>
      </c>
    </row>
    <row r="271" spans="1:19">
      <c r="A271" s="961"/>
      <c r="B271" s="137"/>
      <c r="C271" s="53">
        <f t="shared" si="38"/>
        <v>1</v>
      </c>
      <c r="D271" s="959"/>
      <c r="E271" s="53">
        <f t="shared" si="39"/>
        <v>1</v>
      </c>
      <c r="F271" s="959"/>
      <c r="G271" s="53">
        <f t="shared" si="40"/>
        <v>1</v>
      </c>
      <c r="H271" s="959"/>
      <c r="I271" s="53">
        <f t="shared" si="41"/>
        <v>1</v>
      </c>
      <c r="J271" s="959"/>
      <c r="K271" s="53">
        <f t="shared" si="42"/>
        <v>1</v>
      </c>
      <c r="L271" s="959"/>
      <c r="M271" s="53">
        <f t="shared" si="43"/>
        <v>1</v>
      </c>
      <c r="N271" s="959"/>
      <c r="O271" s="53">
        <f t="shared" si="44"/>
        <v>1</v>
      </c>
      <c r="P271" s="959"/>
      <c r="Q271" s="53">
        <f t="shared" si="45"/>
        <v>1</v>
      </c>
      <c r="R271" s="487">
        <f t="shared" si="46"/>
        <v>0</v>
      </c>
      <c r="S271" s="796">
        <f t="shared" si="47"/>
        <v>0</v>
      </c>
    </row>
    <row r="272" spans="1:19">
      <c r="A272" s="961"/>
      <c r="B272" s="137"/>
      <c r="C272" s="53">
        <f t="shared" si="38"/>
        <v>1</v>
      </c>
      <c r="D272" s="959"/>
      <c r="E272" s="53">
        <f t="shared" si="39"/>
        <v>1</v>
      </c>
      <c r="F272" s="959"/>
      <c r="G272" s="53">
        <f t="shared" si="40"/>
        <v>1</v>
      </c>
      <c r="H272" s="959"/>
      <c r="I272" s="53">
        <f t="shared" si="41"/>
        <v>1</v>
      </c>
      <c r="J272" s="959"/>
      <c r="K272" s="53">
        <f t="shared" si="42"/>
        <v>1</v>
      </c>
      <c r="L272" s="959"/>
      <c r="M272" s="53">
        <f t="shared" si="43"/>
        <v>1</v>
      </c>
      <c r="N272" s="959"/>
      <c r="O272" s="53">
        <f t="shared" si="44"/>
        <v>1</v>
      </c>
      <c r="P272" s="959"/>
      <c r="Q272" s="53">
        <f t="shared" si="45"/>
        <v>1</v>
      </c>
      <c r="R272" s="487">
        <f t="shared" si="46"/>
        <v>0</v>
      </c>
      <c r="S272" s="796">
        <f t="shared" si="47"/>
        <v>0</v>
      </c>
    </row>
    <row r="273" spans="1:19">
      <c r="A273" s="961"/>
      <c r="B273" s="137"/>
      <c r="C273" s="53">
        <f t="shared" si="38"/>
        <v>1</v>
      </c>
      <c r="D273" s="959"/>
      <c r="E273" s="53">
        <f t="shared" si="39"/>
        <v>1</v>
      </c>
      <c r="F273" s="959"/>
      <c r="G273" s="53">
        <f t="shared" si="40"/>
        <v>1</v>
      </c>
      <c r="H273" s="959"/>
      <c r="I273" s="53">
        <f t="shared" si="41"/>
        <v>1</v>
      </c>
      <c r="J273" s="959"/>
      <c r="K273" s="53">
        <f t="shared" si="42"/>
        <v>1</v>
      </c>
      <c r="L273" s="959"/>
      <c r="M273" s="53">
        <f t="shared" si="43"/>
        <v>1</v>
      </c>
      <c r="N273" s="959"/>
      <c r="O273" s="53">
        <f t="shared" si="44"/>
        <v>1</v>
      </c>
      <c r="P273" s="959"/>
      <c r="Q273" s="53">
        <f t="shared" si="45"/>
        <v>1</v>
      </c>
      <c r="R273" s="487">
        <f t="shared" si="46"/>
        <v>0</v>
      </c>
      <c r="S273" s="796">
        <f t="shared" si="47"/>
        <v>0</v>
      </c>
    </row>
    <row r="274" spans="1:19">
      <c r="A274" s="961"/>
      <c r="B274" s="137"/>
      <c r="C274" s="53">
        <f t="shared" si="38"/>
        <v>1</v>
      </c>
      <c r="D274" s="959"/>
      <c r="E274" s="53">
        <f t="shared" si="39"/>
        <v>1</v>
      </c>
      <c r="F274" s="959"/>
      <c r="G274" s="53">
        <f t="shared" si="40"/>
        <v>1</v>
      </c>
      <c r="H274" s="959"/>
      <c r="I274" s="53">
        <f t="shared" si="41"/>
        <v>1</v>
      </c>
      <c r="J274" s="959"/>
      <c r="K274" s="53">
        <f t="shared" si="42"/>
        <v>1</v>
      </c>
      <c r="L274" s="959"/>
      <c r="M274" s="53">
        <f t="shared" si="43"/>
        <v>1</v>
      </c>
      <c r="N274" s="959"/>
      <c r="O274" s="53">
        <f t="shared" si="44"/>
        <v>1</v>
      </c>
      <c r="P274" s="959"/>
      <c r="Q274" s="53">
        <f t="shared" si="45"/>
        <v>1</v>
      </c>
      <c r="R274" s="487">
        <f t="shared" si="46"/>
        <v>0</v>
      </c>
      <c r="S274" s="796">
        <f t="shared" si="47"/>
        <v>0</v>
      </c>
    </row>
    <row r="275" spans="1:19">
      <c r="A275" s="961"/>
      <c r="B275" s="137"/>
      <c r="C275" s="53">
        <f t="shared" si="38"/>
        <v>1</v>
      </c>
      <c r="D275" s="959"/>
      <c r="E275" s="53">
        <f t="shared" si="39"/>
        <v>1</v>
      </c>
      <c r="F275" s="959"/>
      <c r="G275" s="53">
        <f t="shared" si="40"/>
        <v>1</v>
      </c>
      <c r="H275" s="959"/>
      <c r="I275" s="53">
        <f t="shared" si="41"/>
        <v>1</v>
      </c>
      <c r="J275" s="959"/>
      <c r="K275" s="53">
        <f t="shared" si="42"/>
        <v>1</v>
      </c>
      <c r="L275" s="959"/>
      <c r="M275" s="53">
        <f t="shared" si="43"/>
        <v>1</v>
      </c>
      <c r="N275" s="959"/>
      <c r="O275" s="53">
        <f t="shared" si="44"/>
        <v>1</v>
      </c>
      <c r="P275" s="959"/>
      <c r="Q275" s="53">
        <f t="shared" si="45"/>
        <v>1</v>
      </c>
      <c r="R275" s="487">
        <f t="shared" si="46"/>
        <v>0</v>
      </c>
      <c r="S275" s="796">
        <f t="shared" si="47"/>
        <v>0</v>
      </c>
    </row>
    <row r="276" spans="1:19">
      <c r="A276" s="961"/>
      <c r="B276" s="137"/>
      <c r="C276" s="53">
        <f t="shared" si="38"/>
        <v>1</v>
      </c>
      <c r="D276" s="959"/>
      <c r="E276" s="53">
        <f t="shared" si="39"/>
        <v>1</v>
      </c>
      <c r="F276" s="959"/>
      <c r="G276" s="53">
        <f t="shared" si="40"/>
        <v>1</v>
      </c>
      <c r="H276" s="959"/>
      <c r="I276" s="53">
        <f t="shared" si="41"/>
        <v>1</v>
      </c>
      <c r="J276" s="959"/>
      <c r="K276" s="53">
        <f t="shared" si="42"/>
        <v>1</v>
      </c>
      <c r="L276" s="959"/>
      <c r="M276" s="53">
        <f t="shared" si="43"/>
        <v>1</v>
      </c>
      <c r="N276" s="959"/>
      <c r="O276" s="53">
        <f t="shared" si="44"/>
        <v>1</v>
      </c>
      <c r="P276" s="959"/>
      <c r="Q276" s="53">
        <f t="shared" si="45"/>
        <v>1</v>
      </c>
      <c r="R276" s="487">
        <f t="shared" si="46"/>
        <v>0</v>
      </c>
      <c r="S276" s="796">
        <f t="shared" si="47"/>
        <v>0</v>
      </c>
    </row>
    <row r="277" spans="1:19">
      <c r="A277" s="961"/>
      <c r="B277" s="137"/>
      <c r="C277" s="53">
        <f t="shared" si="38"/>
        <v>1</v>
      </c>
      <c r="D277" s="959"/>
      <c r="E277" s="53">
        <f t="shared" si="39"/>
        <v>1</v>
      </c>
      <c r="F277" s="959"/>
      <c r="G277" s="53">
        <f t="shared" si="40"/>
        <v>1</v>
      </c>
      <c r="H277" s="959"/>
      <c r="I277" s="53">
        <f t="shared" si="41"/>
        <v>1</v>
      </c>
      <c r="J277" s="959"/>
      <c r="K277" s="53">
        <f t="shared" si="42"/>
        <v>1</v>
      </c>
      <c r="L277" s="959"/>
      <c r="M277" s="53">
        <f t="shared" si="43"/>
        <v>1</v>
      </c>
      <c r="N277" s="959"/>
      <c r="O277" s="53">
        <f t="shared" si="44"/>
        <v>1</v>
      </c>
      <c r="P277" s="959"/>
      <c r="Q277" s="53">
        <f t="shared" si="45"/>
        <v>1</v>
      </c>
      <c r="R277" s="487">
        <f t="shared" si="46"/>
        <v>0</v>
      </c>
      <c r="S277" s="796">
        <f t="shared" si="47"/>
        <v>0</v>
      </c>
    </row>
    <row r="278" spans="1:19">
      <c r="A278" s="961"/>
      <c r="B278" s="137"/>
      <c r="C278" s="53">
        <f t="shared" si="38"/>
        <v>1</v>
      </c>
      <c r="D278" s="959"/>
      <c r="E278" s="53">
        <f t="shared" si="39"/>
        <v>1</v>
      </c>
      <c r="F278" s="959"/>
      <c r="G278" s="53">
        <f t="shared" si="40"/>
        <v>1</v>
      </c>
      <c r="H278" s="959"/>
      <c r="I278" s="53">
        <f t="shared" si="41"/>
        <v>1</v>
      </c>
      <c r="J278" s="959"/>
      <c r="K278" s="53">
        <f t="shared" si="42"/>
        <v>1</v>
      </c>
      <c r="L278" s="959"/>
      <c r="M278" s="53">
        <f t="shared" si="43"/>
        <v>1</v>
      </c>
      <c r="N278" s="959"/>
      <c r="O278" s="53">
        <f t="shared" si="44"/>
        <v>1</v>
      </c>
      <c r="P278" s="959"/>
      <c r="Q278" s="53">
        <f t="shared" si="45"/>
        <v>1</v>
      </c>
      <c r="R278" s="487">
        <f t="shared" si="46"/>
        <v>0</v>
      </c>
      <c r="S278" s="796">
        <f t="shared" si="47"/>
        <v>0</v>
      </c>
    </row>
    <row r="279" spans="1:19">
      <c r="A279" s="961"/>
      <c r="B279" s="137"/>
      <c r="C279" s="53">
        <f t="shared" si="38"/>
        <v>1</v>
      </c>
      <c r="D279" s="959"/>
      <c r="E279" s="53">
        <f t="shared" si="39"/>
        <v>1</v>
      </c>
      <c r="F279" s="959"/>
      <c r="G279" s="53">
        <f t="shared" si="40"/>
        <v>1</v>
      </c>
      <c r="H279" s="959"/>
      <c r="I279" s="53">
        <f t="shared" si="41"/>
        <v>1</v>
      </c>
      <c r="J279" s="959"/>
      <c r="K279" s="53">
        <f t="shared" si="42"/>
        <v>1</v>
      </c>
      <c r="L279" s="959"/>
      <c r="M279" s="53">
        <f t="shared" si="43"/>
        <v>1</v>
      </c>
      <c r="N279" s="959"/>
      <c r="O279" s="53">
        <f t="shared" si="44"/>
        <v>1</v>
      </c>
      <c r="P279" s="959"/>
      <c r="Q279" s="53">
        <f t="shared" si="45"/>
        <v>1</v>
      </c>
      <c r="R279" s="487">
        <f t="shared" si="46"/>
        <v>0</v>
      </c>
      <c r="S279" s="796">
        <f t="shared" si="47"/>
        <v>0</v>
      </c>
    </row>
    <row r="280" spans="1:19">
      <c r="A280" s="961"/>
      <c r="B280" s="137"/>
      <c r="C280" s="53">
        <f t="shared" si="38"/>
        <v>1</v>
      </c>
      <c r="D280" s="959"/>
      <c r="E280" s="53">
        <f t="shared" si="39"/>
        <v>1</v>
      </c>
      <c r="F280" s="959"/>
      <c r="G280" s="53">
        <f t="shared" si="40"/>
        <v>1</v>
      </c>
      <c r="H280" s="959"/>
      <c r="I280" s="53">
        <f t="shared" si="41"/>
        <v>1</v>
      </c>
      <c r="J280" s="959"/>
      <c r="K280" s="53">
        <f t="shared" si="42"/>
        <v>1</v>
      </c>
      <c r="L280" s="959"/>
      <c r="M280" s="53">
        <f t="shared" si="43"/>
        <v>1</v>
      </c>
      <c r="N280" s="959"/>
      <c r="O280" s="53">
        <f t="shared" si="44"/>
        <v>1</v>
      </c>
      <c r="P280" s="959"/>
      <c r="Q280" s="53">
        <f t="shared" si="45"/>
        <v>1</v>
      </c>
      <c r="R280" s="487">
        <f t="shared" si="46"/>
        <v>0</v>
      </c>
      <c r="S280" s="796">
        <f t="shared" si="47"/>
        <v>0</v>
      </c>
    </row>
    <row r="281" spans="1:19">
      <c r="A281" s="961"/>
      <c r="B281" s="137"/>
      <c r="C281" s="53">
        <f t="shared" si="38"/>
        <v>1</v>
      </c>
      <c r="D281" s="959"/>
      <c r="E281" s="53">
        <f t="shared" si="39"/>
        <v>1</v>
      </c>
      <c r="F281" s="959"/>
      <c r="G281" s="53">
        <f t="shared" si="40"/>
        <v>1</v>
      </c>
      <c r="H281" s="959"/>
      <c r="I281" s="53">
        <f t="shared" si="41"/>
        <v>1</v>
      </c>
      <c r="J281" s="959"/>
      <c r="K281" s="53">
        <f t="shared" si="42"/>
        <v>1</v>
      </c>
      <c r="L281" s="959"/>
      <c r="M281" s="53">
        <f t="shared" si="43"/>
        <v>1</v>
      </c>
      <c r="N281" s="959"/>
      <c r="O281" s="53">
        <f t="shared" si="44"/>
        <v>1</v>
      </c>
      <c r="P281" s="959"/>
      <c r="Q281" s="53">
        <f t="shared" si="45"/>
        <v>1</v>
      </c>
      <c r="R281" s="487">
        <f t="shared" si="46"/>
        <v>0</v>
      </c>
      <c r="S281" s="796">
        <f t="shared" si="47"/>
        <v>0</v>
      </c>
    </row>
    <row r="282" spans="1:19">
      <c r="A282" s="961"/>
      <c r="B282" s="137"/>
      <c r="C282" s="53">
        <f t="shared" ref="C282:C345" si="48">IF(B282="",1,(LOOKUP(B282,$3:$3,$4:$4)-LOOKUP($B$24,$3:$3,$4:$4)+100)/100)</f>
        <v>1</v>
      </c>
      <c r="D282" s="959"/>
      <c r="E282" s="53">
        <f t="shared" ref="E282:E345" si="49">(SUMIF($5:$5,D282,$6:$6)-SUMIF($5:$5,$D$24,$6:$6)+100)/100</f>
        <v>1</v>
      </c>
      <c r="F282" s="959"/>
      <c r="G282" s="53">
        <f t="shared" ref="G282:G345" si="50">(SUMIF($7:$7,F282,$8:$8)-SUMIF($7:$7,$F$24,$8:$8)+100)/100</f>
        <v>1</v>
      </c>
      <c r="H282" s="959"/>
      <c r="I282" s="53">
        <f t="shared" ref="I282:I345" si="51">(SUMIF($9:$9,H282,$10:$10)-SUMIF($9:$9,$H$24,$10:$10)+100)/100</f>
        <v>1</v>
      </c>
      <c r="J282" s="959"/>
      <c r="K282" s="53">
        <f t="shared" ref="K282:K345" si="52">(SUMIF($11:$11,J282,$12:$12)-SUMIF($11:$11,$J$24,$12:$12)+100)/100</f>
        <v>1</v>
      </c>
      <c r="L282" s="959"/>
      <c r="M282" s="53">
        <f t="shared" ref="M282:M345" si="53">(SUMIF($13:$13,L282,$14:$14)-SUMIF($13:$13,$L$24,$14:$14)+100)/100</f>
        <v>1</v>
      </c>
      <c r="N282" s="959"/>
      <c r="O282" s="53">
        <f t="shared" ref="O282:O345" si="54">(SUMIF($15:$15,N282,$16:$16)-SUMIF($15:$15,$N$24,$16:$16)+100)/100</f>
        <v>1</v>
      </c>
      <c r="P282" s="959"/>
      <c r="Q282" s="53">
        <f t="shared" ref="Q282:Q345" si="55">(SUMIF($17:$17,P282,$18:$18)-SUMIF($17:$17,$P$24,$18:$18)+100)/100</f>
        <v>1</v>
      </c>
      <c r="R282" s="487">
        <f t="shared" ref="R282:R345" si="56">IF(B282="",0,ROUND($R$24*C282*E282*G282*I282*K282*M282*O282*Q282,0))</f>
        <v>0</v>
      </c>
      <c r="S282" s="796">
        <f t="shared" si="47"/>
        <v>0</v>
      </c>
    </row>
    <row r="283" spans="1:19">
      <c r="A283" s="961"/>
      <c r="B283" s="137"/>
      <c r="C283" s="53">
        <f t="shared" si="48"/>
        <v>1</v>
      </c>
      <c r="D283" s="959"/>
      <c r="E283" s="53">
        <f t="shared" si="49"/>
        <v>1</v>
      </c>
      <c r="F283" s="959"/>
      <c r="G283" s="53">
        <f t="shared" si="50"/>
        <v>1</v>
      </c>
      <c r="H283" s="959"/>
      <c r="I283" s="53">
        <f t="shared" si="51"/>
        <v>1</v>
      </c>
      <c r="J283" s="959"/>
      <c r="K283" s="53">
        <f t="shared" si="52"/>
        <v>1</v>
      </c>
      <c r="L283" s="959"/>
      <c r="M283" s="53">
        <f t="shared" si="53"/>
        <v>1</v>
      </c>
      <c r="N283" s="959"/>
      <c r="O283" s="53">
        <f t="shared" si="54"/>
        <v>1</v>
      </c>
      <c r="P283" s="959"/>
      <c r="Q283" s="53">
        <f t="shared" si="55"/>
        <v>1</v>
      </c>
      <c r="R283" s="487">
        <f t="shared" si="56"/>
        <v>0</v>
      </c>
      <c r="S283" s="796">
        <f t="shared" si="47"/>
        <v>0</v>
      </c>
    </row>
    <row r="284" spans="1:19">
      <c r="A284" s="961"/>
      <c r="B284" s="137"/>
      <c r="C284" s="53">
        <f t="shared" si="48"/>
        <v>1</v>
      </c>
      <c r="D284" s="959"/>
      <c r="E284" s="53">
        <f t="shared" si="49"/>
        <v>1</v>
      </c>
      <c r="F284" s="959"/>
      <c r="G284" s="53">
        <f t="shared" si="50"/>
        <v>1</v>
      </c>
      <c r="H284" s="959"/>
      <c r="I284" s="53">
        <f t="shared" si="51"/>
        <v>1</v>
      </c>
      <c r="J284" s="959"/>
      <c r="K284" s="53">
        <f t="shared" si="52"/>
        <v>1</v>
      </c>
      <c r="L284" s="959"/>
      <c r="M284" s="53">
        <f t="shared" si="53"/>
        <v>1</v>
      </c>
      <c r="N284" s="959"/>
      <c r="O284" s="53">
        <f t="shared" si="54"/>
        <v>1</v>
      </c>
      <c r="P284" s="959"/>
      <c r="Q284" s="53">
        <f t="shared" si="55"/>
        <v>1</v>
      </c>
      <c r="R284" s="487">
        <f t="shared" si="56"/>
        <v>0</v>
      </c>
      <c r="S284" s="796">
        <f t="shared" si="47"/>
        <v>0</v>
      </c>
    </row>
    <row r="285" spans="1:19">
      <c r="A285" s="961"/>
      <c r="B285" s="137"/>
      <c r="C285" s="53">
        <f t="shared" si="48"/>
        <v>1</v>
      </c>
      <c r="D285" s="959"/>
      <c r="E285" s="53">
        <f t="shared" si="49"/>
        <v>1</v>
      </c>
      <c r="F285" s="959"/>
      <c r="G285" s="53">
        <f t="shared" si="50"/>
        <v>1</v>
      </c>
      <c r="H285" s="959"/>
      <c r="I285" s="53">
        <f t="shared" si="51"/>
        <v>1</v>
      </c>
      <c r="J285" s="959"/>
      <c r="K285" s="53">
        <f t="shared" si="52"/>
        <v>1</v>
      </c>
      <c r="L285" s="959"/>
      <c r="M285" s="53">
        <f t="shared" si="53"/>
        <v>1</v>
      </c>
      <c r="N285" s="959"/>
      <c r="O285" s="53">
        <f t="shared" si="54"/>
        <v>1</v>
      </c>
      <c r="P285" s="959"/>
      <c r="Q285" s="53">
        <f t="shared" si="55"/>
        <v>1</v>
      </c>
      <c r="R285" s="487">
        <f t="shared" si="56"/>
        <v>0</v>
      </c>
      <c r="S285" s="796">
        <f t="shared" si="47"/>
        <v>0</v>
      </c>
    </row>
    <row r="286" spans="1:19">
      <c r="A286" s="961"/>
      <c r="B286" s="137"/>
      <c r="C286" s="53">
        <f t="shared" si="48"/>
        <v>1</v>
      </c>
      <c r="D286" s="959"/>
      <c r="E286" s="53">
        <f t="shared" si="49"/>
        <v>1</v>
      </c>
      <c r="F286" s="959"/>
      <c r="G286" s="53">
        <f t="shared" si="50"/>
        <v>1</v>
      </c>
      <c r="H286" s="959"/>
      <c r="I286" s="53">
        <f t="shared" si="51"/>
        <v>1</v>
      </c>
      <c r="J286" s="959"/>
      <c r="K286" s="53">
        <f t="shared" si="52"/>
        <v>1</v>
      </c>
      <c r="L286" s="959"/>
      <c r="M286" s="53">
        <f t="shared" si="53"/>
        <v>1</v>
      </c>
      <c r="N286" s="959"/>
      <c r="O286" s="53">
        <f t="shared" si="54"/>
        <v>1</v>
      </c>
      <c r="P286" s="959"/>
      <c r="Q286" s="53">
        <f t="shared" si="55"/>
        <v>1</v>
      </c>
      <c r="R286" s="487">
        <f t="shared" si="56"/>
        <v>0</v>
      </c>
      <c r="S286" s="796">
        <f t="shared" si="47"/>
        <v>0</v>
      </c>
    </row>
    <row r="287" spans="1:19">
      <c r="A287" s="961"/>
      <c r="B287" s="137"/>
      <c r="C287" s="53">
        <f t="shared" si="48"/>
        <v>1</v>
      </c>
      <c r="D287" s="959"/>
      <c r="E287" s="53">
        <f t="shared" si="49"/>
        <v>1</v>
      </c>
      <c r="F287" s="959"/>
      <c r="G287" s="53">
        <f t="shared" si="50"/>
        <v>1</v>
      </c>
      <c r="H287" s="959"/>
      <c r="I287" s="53">
        <f t="shared" si="51"/>
        <v>1</v>
      </c>
      <c r="J287" s="959"/>
      <c r="K287" s="53">
        <f t="shared" si="52"/>
        <v>1</v>
      </c>
      <c r="L287" s="959"/>
      <c r="M287" s="53">
        <f t="shared" si="53"/>
        <v>1</v>
      </c>
      <c r="N287" s="959"/>
      <c r="O287" s="53">
        <f t="shared" si="54"/>
        <v>1</v>
      </c>
      <c r="P287" s="959"/>
      <c r="Q287" s="53">
        <f t="shared" si="55"/>
        <v>1</v>
      </c>
      <c r="R287" s="487">
        <f t="shared" si="56"/>
        <v>0</v>
      </c>
      <c r="S287" s="796">
        <f t="shared" ref="S287:S320" si="57">ROUND(R287*B287/10000,0)</f>
        <v>0</v>
      </c>
    </row>
    <row r="288" spans="1:19">
      <c r="A288" s="961"/>
      <c r="B288" s="137"/>
      <c r="C288" s="53">
        <f t="shared" si="48"/>
        <v>1</v>
      </c>
      <c r="D288" s="959"/>
      <c r="E288" s="53">
        <f t="shared" si="49"/>
        <v>1</v>
      </c>
      <c r="F288" s="959"/>
      <c r="G288" s="53">
        <f t="shared" si="50"/>
        <v>1</v>
      </c>
      <c r="H288" s="959"/>
      <c r="I288" s="53">
        <f t="shared" si="51"/>
        <v>1</v>
      </c>
      <c r="J288" s="959"/>
      <c r="K288" s="53">
        <f t="shared" si="52"/>
        <v>1</v>
      </c>
      <c r="L288" s="959"/>
      <c r="M288" s="53">
        <f t="shared" si="53"/>
        <v>1</v>
      </c>
      <c r="N288" s="959"/>
      <c r="O288" s="53">
        <f t="shared" si="54"/>
        <v>1</v>
      </c>
      <c r="P288" s="959"/>
      <c r="Q288" s="53">
        <f t="shared" si="55"/>
        <v>1</v>
      </c>
      <c r="R288" s="487">
        <f t="shared" si="56"/>
        <v>0</v>
      </c>
      <c r="S288" s="796">
        <f t="shared" si="57"/>
        <v>0</v>
      </c>
    </row>
    <row r="289" spans="1:19">
      <c r="A289" s="961"/>
      <c r="B289" s="137"/>
      <c r="C289" s="53">
        <f t="shared" si="48"/>
        <v>1</v>
      </c>
      <c r="D289" s="959"/>
      <c r="E289" s="53">
        <f t="shared" si="49"/>
        <v>1</v>
      </c>
      <c r="F289" s="959"/>
      <c r="G289" s="53">
        <f t="shared" si="50"/>
        <v>1</v>
      </c>
      <c r="H289" s="959"/>
      <c r="I289" s="53">
        <f t="shared" si="51"/>
        <v>1</v>
      </c>
      <c r="J289" s="959"/>
      <c r="K289" s="53">
        <f t="shared" si="52"/>
        <v>1</v>
      </c>
      <c r="L289" s="959"/>
      <c r="M289" s="53">
        <f t="shared" si="53"/>
        <v>1</v>
      </c>
      <c r="N289" s="959"/>
      <c r="O289" s="53">
        <f t="shared" si="54"/>
        <v>1</v>
      </c>
      <c r="P289" s="959"/>
      <c r="Q289" s="53">
        <f t="shared" si="55"/>
        <v>1</v>
      </c>
      <c r="R289" s="487">
        <f t="shared" si="56"/>
        <v>0</v>
      </c>
      <c r="S289" s="796">
        <f t="shared" si="57"/>
        <v>0</v>
      </c>
    </row>
    <row r="290" spans="1:19">
      <c r="A290" s="961"/>
      <c r="B290" s="137"/>
      <c r="C290" s="53">
        <f t="shared" si="48"/>
        <v>1</v>
      </c>
      <c r="D290" s="959"/>
      <c r="E290" s="53">
        <f t="shared" si="49"/>
        <v>1</v>
      </c>
      <c r="F290" s="959"/>
      <c r="G290" s="53">
        <f t="shared" si="50"/>
        <v>1</v>
      </c>
      <c r="H290" s="959"/>
      <c r="I290" s="53">
        <f t="shared" si="51"/>
        <v>1</v>
      </c>
      <c r="J290" s="959"/>
      <c r="K290" s="53">
        <f t="shared" si="52"/>
        <v>1</v>
      </c>
      <c r="L290" s="959"/>
      <c r="M290" s="53">
        <f t="shared" si="53"/>
        <v>1</v>
      </c>
      <c r="N290" s="959"/>
      <c r="O290" s="53">
        <f t="shared" si="54"/>
        <v>1</v>
      </c>
      <c r="P290" s="959"/>
      <c r="Q290" s="53">
        <f t="shared" si="55"/>
        <v>1</v>
      </c>
      <c r="R290" s="487">
        <f t="shared" si="56"/>
        <v>0</v>
      </c>
      <c r="S290" s="796">
        <f t="shared" si="57"/>
        <v>0</v>
      </c>
    </row>
    <row r="291" spans="1:19">
      <c r="A291" s="961"/>
      <c r="B291" s="137"/>
      <c r="C291" s="53">
        <f t="shared" si="48"/>
        <v>1</v>
      </c>
      <c r="D291" s="959"/>
      <c r="E291" s="53">
        <f t="shared" si="49"/>
        <v>1</v>
      </c>
      <c r="F291" s="959"/>
      <c r="G291" s="53">
        <f t="shared" si="50"/>
        <v>1</v>
      </c>
      <c r="H291" s="959"/>
      <c r="I291" s="53">
        <f t="shared" si="51"/>
        <v>1</v>
      </c>
      <c r="J291" s="959"/>
      <c r="K291" s="53">
        <f t="shared" si="52"/>
        <v>1</v>
      </c>
      <c r="L291" s="959"/>
      <c r="M291" s="53">
        <f t="shared" si="53"/>
        <v>1</v>
      </c>
      <c r="N291" s="959"/>
      <c r="O291" s="53">
        <f t="shared" si="54"/>
        <v>1</v>
      </c>
      <c r="P291" s="959"/>
      <c r="Q291" s="53">
        <f t="shared" si="55"/>
        <v>1</v>
      </c>
      <c r="R291" s="487">
        <f t="shared" si="56"/>
        <v>0</v>
      </c>
      <c r="S291" s="796">
        <f t="shared" si="57"/>
        <v>0</v>
      </c>
    </row>
    <row r="292" spans="1:19">
      <c r="A292" s="961"/>
      <c r="B292" s="137"/>
      <c r="C292" s="53">
        <f t="shared" si="48"/>
        <v>1</v>
      </c>
      <c r="D292" s="959"/>
      <c r="E292" s="53">
        <f t="shared" si="49"/>
        <v>1</v>
      </c>
      <c r="F292" s="959"/>
      <c r="G292" s="53">
        <f t="shared" si="50"/>
        <v>1</v>
      </c>
      <c r="H292" s="959"/>
      <c r="I292" s="53">
        <f t="shared" si="51"/>
        <v>1</v>
      </c>
      <c r="J292" s="959"/>
      <c r="K292" s="53">
        <f t="shared" si="52"/>
        <v>1</v>
      </c>
      <c r="L292" s="959"/>
      <c r="M292" s="53">
        <f t="shared" si="53"/>
        <v>1</v>
      </c>
      <c r="N292" s="959"/>
      <c r="O292" s="53">
        <f t="shared" si="54"/>
        <v>1</v>
      </c>
      <c r="P292" s="959"/>
      <c r="Q292" s="53">
        <f t="shared" si="55"/>
        <v>1</v>
      </c>
      <c r="R292" s="487">
        <f t="shared" si="56"/>
        <v>0</v>
      </c>
      <c r="S292" s="796">
        <f t="shared" si="57"/>
        <v>0</v>
      </c>
    </row>
    <row r="293" spans="1:19">
      <c r="A293" s="961"/>
      <c r="B293" s="137"/>
      <c r="C293" s="53">
        <f t="shared" si="48"/>
        <v>1</v>
      </c>
      <c r="D293" s="959"/>
      <c r="E293" s="53">
        <f t="shared" si="49"/>
        <v>1</v>
      </c>
      <c r="F293" s="959"/>
      <c r="G293" s="53">
        <f t="shared" si="50"/>
        <v>1</v>
      </c>
      <c r="H293" s="959"/>
      <c r="I293" s="53">
        <f t="shared" si="51"/>
        <v>1</v>
      </c>
      <c r="J293" s="959"/>
      <c r="K293" s="53">
        <f t="shared" si="52"/>
        <v>1</v>
      </c>
      <c r="L293" s="959"/>
      <c r="M293" s="53">
        <f t="shared" si="53"/>
        <v>1</v>
      </c>
      <c r="N293" s="959"/>
      <c r="O293" s="53">
        <f t="shared" si="54"/>
        <v>1</v>
      </c>
      <c r="P293" s="959"/>
      <c r="Q293" s="53">
        <f t="shared" si="55"/>
        <v>1</v>
      </c>
      <c r="R293" s="487">
        <f t="shared" si="56"/>
        <v>0</v>
      </c>
      <c r="S293" s="796">
        <f t="shared" si="57"/>
        <v>0</v>
      </c>
    </row>
    <row r="294" spans="1:19">
      <c r="A294" s="961"/>
      <c r="B294" s="137"/>
      <c r="C294" s="53">
        <f t="shared" si="48"/>
        <v>1</v>
      </c>
      <c r="D294" s="959"/>
      <c r="E294" s="53">
        <f t="shared" si="49"/>
        <v>1</v>
      </c>
      <c r="F294" s="959"/>
      <c r="G294" s="53">
        <f t="shared" si="50"/>
        <v>1</v>
      </c>
      <c r="H294" s="959"/>
      <c r="I294" s="53">
        <f t="shared" si="51"/>
        <v>1</v>
      </c>
      <c r="J294" s="959"/>
      <c r="K294" s="53">
        <f t="shared" si="52"/>
        <v>1</v>
      </c>
      <c r="L294" s="959"/>
      <c r="M294" s="53">
        <f t="shared" si="53"/>
        <v>1</v>
      </c>
      <c r="N294" s="959"/>
      <c r="O294" s="53">
        <f t="shared" si="54"/>
        <v>1</v>
      </c>
      <c r="P294" s="959"/>
      <c r="Q294" s="53">
        <f t="shared" si="55"/>
        <v>1</v>
      </c>
      <c r="R294" s="487">
        <f t="shared" si="56"/>
        <v>0</v>
      </c>
      <c r="S294" s="796">
        <f t="shared" si="57"/>
        <v>0</v>
      </c>
    </row>
    <row r="295" spans="1:19">
      <c r="A295" s="961"/>
      <c r="B295" s="137"/>
      <c r="C295" s="53">
        <f t="shared" si="48"/>
        <v>1</v>
      </c>
      <c r="D295" s="959"/>
      <c r="E295" s="53">
        <f t="shared" si="49"/>
        <v>1</v>
      </c>
      <c r="F295" s="959"/>
      <c r="G295" s="53">
        <f t="shared" si="50"/>
        <v>1</v>
      </c>
      <c r="H295" s="959"/>
      <c r="I295" s="53">
        <f t="shared" si="51"/>
        <v>1</v>
      </c>
      <c r="J295" s="959"/>
      <c r="K295" s="53">
        <f t="shared" si="52"/>
        <v>1</v>
      </c>
      <c r="L295" s="959"/>
      <c r="M295" s="53">
        <f t="shared" si="53"/>
        <v>1</v>
      </c>
      <c r="N295" s="959"/>
      <c r="O295" s="53">
        <f t="shared" si="54"/>
        <v>1</v>
      </c>
      <c r="P295" s="959"/>
      <c r="Q295" s="53">
        <f t="shared" si="55"/>
        <v>1</v>
      </c>
      <c r="R295" s="487">
        <f t="shared" si="56"/>
        <v>0</v>
      </c>
      <c r="S295" s="796">
        <f t="shared" si="57"/>
        <v>0</v>
      </c>
    </row>
    <row r="296" spans="1:19">
      <c r="A296" s="961"/>
      <c r="B296" s="137"/>
      <c r="C296" s="53">
        <f t="shared" si="48"/>
        <v>1</v>
      </c>
      <c r="D296" s="959"/>
      <c r="E296" s="53">
        <f t="shared" si="49"/>
        <v>1</v>
      </c>
      <c r="F296" s="959"/>
      <c r="G296" s="53">
        <f t="shared" si="50"/>
        <v>1</v>
      </c>
      <c r="H296" s="959"/>
      <c r="I296" s="53">
        <f t="shared" si="51"/>
        <v>1</v>
      </c>
      <c r="J296" s="959"/>
      <c r="K296" s="53">
        <f t="shared" si="52"/>
        <v>1</v>
      </c>
      <c r="L296" s="959"/>
      <c r="M296" s="53">
        <f t="shared" si="53"/>
        <v>1</v>
      </c>
      <c r="N296" s="959"/>
      <c r="O296" s="53">
        <f t="shared" si="54"/>
        <v>1</v>
      </c>
      <c r="P296" s="959"/>
      <c r="Q296" s="53">
        <f t="shared" si="55"/>
        <v>1</v>
      </c>
      <c r="R296" s="487">
        <f t="shared" si="56"/>
        <v>0</v>
      </c>
      <c r="S296" s="796">
        <f t="shared" si="57"/>
        <v>0</v>
      </c>
    </row>
    <row r="297" spans="1:19">
      <c r="A297" s="961"/>
      <c r="B297" s="137"/>
      <c r="C297" s="53">
        <f t="shared" si="48"/>
        <v>1</v>
      </c>
      <c r="D297" s="959"/>
      <c r="E297" s="53">
        <f t="shared" si="49"/>
        <v>1</v>
      </c>
      <c r="F297" s="959"/>
      <c r="G297" s="53">
        <f t="shared" si="50"/>
        <v>1</v>
      </c>
      <c r="H297" s="959"/>
      <c r="I297" s="53">
        <f t="shared" si="51"/>
        <v>1</v>
      </c>
      <c r="J297" s="959"/>
      <c r="K297" s="53">
        <f t="shared" si="52"/>
        <v>1</v>
      </c>
      <c r="L297" s="959"/>
      <c r="M297" s="53">
        <f t="shared" si="53"/>
        <v>1</v>
      </c>
      <c r="N297" s="959"/>
      <c r="O297" s="53">
        <f t="shared" si="54"/>
        <v>1</v>
      </c>
      <c r="P297" s="959"/>
      <c r="Q297" s="53">
        <f t="shared" si="55"/>
        <v>1</v>
      </c>
      <c r="R297" s="487">
        <f t="shared" si="56"/>
        <v>0</v>
      </c>
      <c r="S297" s="796">
        <f t="shared" si="57"/>
        <v>0</v>
      </c>
    </row>
    <row r="298" spans="1:19">
      <c r="A298" s="961"/>
      <c r="B298" s="137"/>
      <c r="C298" s="53">
        <f t="shared" si="48"/>
        <v>1</v>
      </c>
      <c r="D298" s="959"/>
      <c r="E298" s="53">
        <f t="shared" si="49"/>
        <v>1</v>
      </c>
      <c r="F298" s="959"/>
      <c r="G298" s="53">
        <f t="shared" si="50"/>
        <v>1</v>
      </c>
      <c r="H298" s="959"/>
      <c r="I298" s="53">
        <f t="shared" si="51"/>
        <v>1</v>
      </c>
      <c r="J298" s="959"/>
      <c r="K298" s="53">
        <f t="shared" si="52"/>
        <v>1</v>
      </c>
      <c r="L298" s="959"/>
      <c r="M298" s="53">
        <f t="shared" si="53"/>
        <v>1</v>
      </c>
      <c r="N298" s="959"/>
      <c r="O298" s="53">
        <f t="shared" si="54"/>
        <v>1</v>
      </c>
      <c r="P298" s="959"/>
      <c r="Q298" s="53">
        <f t="shared" si="55"/>
        <v>1</v>
      </c>
      <c r="R298" s="487">
        <f t="shared" si="56"/>
        <v>0</v>
      </c>
      <c r="S298" s="796">
        <f t="shared" si="57"/>
        <v>0</v>
      </c>
    </row>
    <row r="299" spans="1:19">
      <c r="A299" s="961"/>
      <c r="B299" s="137"/>
      <c r="C299" s="53">
        <f t="shared" si="48"/>
        <v>1</v>
      </c>
      <c r="D299" s="959"/>
      <c r="E299" s="53">
        <f t="shared" si="49"/>
        <v>1</v>
      </c>
      <c r="F299" s="959"/>
      <c r="G299" s="53">
        <f t="shared" si="50"/>
        <v>1</v>
      </c>
      <c r="H299" s="959"/>
      <c r="I299" s="53">
        <f t="shared" si="51"/>
        <v>1</v>
      </c>
      <c r="J299" s="959"/>
      <c r="K299" s="53">
        <f t="shared" si="52"/>
        <v>1</v>
      </c>
      <c r="L299" s="959"/>
      <c r="M299" s="53">
        <f t="shared" si="53"/>
        <v>1</v>
      </c>
      <c r="N299" s="959"/>
      <c r="O299" s="53">
        <f t="shared" si="54"/>
        <v>1</v>
      </c>
      <c r="P299" s="959"/>
      <c r="Q299" s="53">
        <f t="shared" si="55"/>
        <v>1</v>
      </c>
      <c r="R299" s="487">
        <f t="shared" si="56"/>
        <v>0</v>
      </c>
      <c r="S299" s="796">
        <f t="shared" si="57"/>
        <v>0</v>
      </c>
    </row>
    <row r="300" spans="1:19">
      <c r="A300" s="961"/>
      <c r="B300" s="137"/>
      <c r="C300" s="53">
        <f t="shared" si="48"/>
        <v>1</v>
      </c>
      <c r="D300" s="959"/>
      <c r="E300" s="53">
        <f t="shared" si="49"/>
        <v>1</v>
      </c>
      <c r="F300" s="959"/>
      <c r="G300" s="53">
        <f t="shared" si="50"/>
        <v>1</v>
      </c>
      <c r="H300" s="959"/>
      <c r="I300" s="53">
        <f t="shared" si="51"/>
        <v>1</v>
      </c>
      <c r="J300" s="959"/>
      <c r="K300" s="53">
        <f t="shared" si="52"/>
        <v>1</v>
      </c>
      <c r="L300" s="959"/>
      <c r="M300" s="53">
        <f t="shared" si="53"/>
        <v>1</v>
      </c>
      <c r="N300" s="959"/>
      <c r="O300" s="53">
        <f t="shared" si="54"/>
        <v>1</v>
      </c>
      <c r="P300" s="959"/>
      <c r="Q300" s="53">
        <f t="shared" si="55"/>
        <v>1</v>
      </c>
      <c r="R300" s="487">
        <f t="shared" si="56"/>
        <v>0</v>
      </c>
      <c r="S300" s="796">
        <f t="shared" si="57"/>
        <v>0</v>
      </c>
    </row>
    <row r="301" spans="1:19">
      <c r="A301" s="961"/>
      <c r="B301" s="137"/>
      <c r="C301" s="53">
        <f t="shared" si="48"/>
        <v>1</v>
      </c>
      <c r="D301" s="959"/>
      <c r="E301" s="53">
        <f t="shared" si="49"/>
        <v>1</v>
      </c>
      <c r="F301" s="959"/>
      <c r="G301" s="53">
        <f t="shared" si="50"/>
        <v>1</v>
      </c>
      <c r="H301" s="959"/>
      <c r="I301" s="53">
        <f t="shared" si="51"/>
        <v>1</v>
      </c>
      <c r="J301" s="959"/>
      <c r="K301" s="53">
        <f t="shared" si="52"/>
        <v>1</v>
      </c>
      <c r="L301" s="959"/>
      <c r="M301" s="53">
        <f t="shared" si="53"/>
        <v>1</v>
      </c>
      <c r="N301" s="959"/>
      <c r="O301" s="53">
        <f t="shared" si="54"/>
        <v>1</v>
      </c>
      <c r="P301" s="959"/>
      <c r="Q301" s="53">
        <f t="shared" si="55"/>
        <v>1</v>
      </c>
      <c r="R301" s="487">
        <f t="shared" si="56"/>
        <v>0</v>
      </c>
      <c r="S301" s="796">
        <f t="shared" si="57"/>
        <v>0</v>
      </c>
    </row>
    <row r="302" spans="1:19">
      <c r="A302" s="961"/>
      <c r="B302" s="137"/>
      <c r="C302" s="53">
        <f t="shared" si="48"/>
        <v>1</v>
      </c>
      <c r="D302" s="959"/>
      <c r="E302" s="53">
        <f t="shared" si="49"/>
        <v>1</v>
      </c>
      <c r="F302" s="959"/>
      <c r="G302" s="53">
        <f t="shared" si="50"/>
        <v>1</v>
      </c>
      <c r="H302" s="959"/>
      <c r="I302" s="53">
        <f t="shared" si="51"/>
        <v>1</v>
      </c>
      <c r="J302" s="959"/>
      <c r="K302" s="53">
        <f t="shared" si="52"/>
        <v>1</v>
      </c>
      <c r="L302" s="959"/>
      <c r="M302" s="53">
        <f t="shared" si="53"/>
        <v>1</v>
      </c>
      <c r="N302" s="959"/>
      <c r="O302" s="53">
        <f t="shared" si="54"/>
        <v>1</v>
      </c>
      <c r="P302" s="959"/>
      <c r="Q302" s="53">
        <f t="shared" si="55"/>
        <v>1</v>
      </c>
      <c r="R302" s="487">
        <f t="shared" si="56"/>
        <v>0</v>
      </c>
      <c r="S302" s="796">
        <f t="shared" si="57"/>
        <v>0</v>
      </c>
    </row>
    <row r="303" spans="1:19">
      <c r="A303" s="961"/>
      <c r="B303" s="137"/>
      <c r="C303" s="53">
        <f t="shared" si="48"/>
        <v>1</v>
      </c>
      <c r="D303" s="959"/>
      <c r="E303" s="53">
        <f t="shared" si="49"/>
        <v>1</v>
      </c>
      <c r="F303" s="959"/>
      <c r="G303" s="53">
        <f t="shared" si="50"/>
        <v>1</v>
      </c>
      <c r="H303" s="959"/>
      <c r="I303" s="53">
        <f t="shared" si="51"/>
        <v>1</v>
      </c>
      <c r="J303" s="959"/>
      <c r="K303" s="53">
        <f t="shared" si="52"/>
        <v>1</v>
      </c>
      <c r="L303" s="959"/>
      <c r="M303" s="53">
        <f t="shared" si="53"/>
        <v>1</v>
      </c>
      <c r="N303" s="959"/>
      <c r="O303" s="53">
        <f t="shared" si="54"/>
        <v>1</v>
      </c>
      <c r="P303" s="959"/>
      <c r="Q303" s="53">
        <f t="shared" si="55"/>
        <v>1</v>
      </c>
      <c r="R303" s="487">
        <f t="shared" si="56"/>
        <v>0</v>
      </c>
      <c r="S303" s="796">
        <f t="shared" si="57"/>
        <v>0</v>
      </c>
    </row>
    <row r="304" spans="1:19">
      <c r="A304" s="961"/>
      <c r="B304" s="137"/>
      <c r="C304" s="53">
        <f t="shared" si="48"/>
        <v>1</v>
      </c>
      <c r="D304" s="959"/>
      <c r="E304" s="53">
        <f t="shared" si="49"/>
        <v>1</v>
      </c>
      <c r="F304" s="959"/>
      <c r="G304" s="53">
        <f t="shared" si="50"/>
        <v>1</v>
      </c>
      <c r="H304" s="959"/>
      <c r="I304" s="53">
        <f t="shared" si="51"/>
        <v>1</v>
      </c>
      <c r="J304" s="959"/>
      <c r="K304" s="53">
        <f t="shared" si="52"/>
        <v>1</v>
      </c>
      <c r="L304" s="959"/>
      <c r="M304" s="53">
        <f t="shared" si="53"/>
        <v>1</v>
      </c>
      <c r="N304" s="959"/>
      <c r="O304" s="53">
        <f t="shared" si="54"/>
        <v>1</v>
      </c>
      <c r="P304" s="959"/>
      <c r="Q304" s="53">
        <f t="shared" si="55"/>
        <v>1</v>
      </c>
      <c r="R304" s="487">
        <f t="shared" si="56"/>
        <v>0</v>
      </c>
      <c r="S304" s="796">
        <f t="shared" si="57"/>
        <v>0</v>
      </c>
    </row>
    <row r="305" spans="1:19">
      <c r="A305" s="961"/>
      <c r="B305" s="137"/>
      <c r="C305" s="53">
        <f t="shared" si="48"/>
        <v>1</v>
      </c>
      <c r="D305" s="959"/>
      <c r="E305" s="53">
        <f t="shared" si="49"/>
        <v>1</v>
      </c>
      <c r="F305" s="959"/>
      <c r="G305" s="53">
        <f t="shared" si="50"/>
        <v>1</v>
      </c>
      <c r="H305" s="959"/>
      <c r="I305" s="53">
        <f t="shared" si="51"/>
        <v>1</v>
      </c>
      <c r="J305" s="959"/>
      <c r="K305" s="53">
        <f t="shared" si="52"/>
        <v>1</v>
      </c>
      <c r="L305" s="959"/>
      <c r="M305" s="53">
        <f t="shared" si="53"/>
        <v>1</v>
      </c>
      <c r="N305" s="959"/>
      <c r="O305" s="53">
        <f t="shared" si="54"/>
        <v>1</v>
      </c>
      <c r="P305" s="959"/>
      <c r="Q305" s="53">
        <f t="shared" si="55"/>
        <v>1</v>
      </c>
      <c r="R305" s="487">
        <f t="shared" si="56"/>
        <v>0</v>
      </c>
      <c r="S305" s="796">
        <f t="shared" si="57"/>
        <v>0</v>
      </c>
    </row>
    <row r="306" spans="1:19">
      <c r="A306" s="961"/>
      <c r="B306" s="137"/>
      <c r="C306" s="53">
        <f t="shared" si="48"/>
        <v>1</v>
      </c>
      <c r="D306" s="959"/>
      <c r="E306" s="53">
        <f t="shared" si="49"/>
        <v>1</v>
      </c>
      <c r="F306" s="959"/>
      <c r="G306" s="53">
        <f t="shared" si="50"/>
        <v>1</v>
      </c>
      <c r="H306" s="959"/>
      <c r="I306" s="53">
        <f t="shared" si="51"/>
        <v>1</v>
      </c>
      <c r="J306" s="959"/>
      <c r="K306" s="53">
        <f t="shared" si="52"/>
        <v>1</v>
      </c>
      <c r="L306" s="959"/>
      <c r="M306" s="53">
        <f t="shared" si="53"/>
        <v>1</v>
      </c>
      <c r="N306" s="959"/>
      <c r="O306" s="53">
        <f t="shared" si="54"/>
        <v>1</v>
      </c>
      <c r="P306" s="959"/>
      <c r="Q306" s="53">
        <f t="shared" si="55"/>
        <v>1</v>
      </c>
      <c r="R306" s="487">
        <f t="shared" si="56"/>
        <v>0</v>
      </c>
      <c r="S306" s="796">
        <f t="shared" si="57"/>
        <v>0</v>
      </c>
    </row>
    <row r="307" spans="1:19">
      <c r="A307" s="961"/>
      <c r="B307" s="137"/>
      <c r="C307" s="53">
        <f t="shared" si="48"/>
        <v>1</v>
      </c>
      <c r="D307" s="959"/>
      <c r="E307" s="53">
        <f t="shared" si="49"/>
        <v>1</v>
      </c>
      <c r="F307" s="959"/>
      <c r="G307" s="53">
        <f t="shared" si="50"/>
        <v>1</v>
      </c>
      <c r="H307" s="959"/>
      <c r="I307" s="53">
        <f t="shared" si="51"/>
        <v>1</v>
      </c>
      <c r="J307" s="959"/>
      <c r="K307" s="53">
        <f t="shared" si="52"/>
        <v>1</v>
      </c>
      <c r="L307" s="959"/>
      <c r="M307" s="53">
        <f t="shared" si="53"/>
        <v>1</v>
      </c>
      <c r="N307" s="959"/>
      <c r="O307" s="53">
        <f t="shared" si="54"/>
        <v>1</v>
      </c>
      <c r="P307" s="959"/>
      <c r="Q307" s="53">
        <f t="shared" si="55"/>
        <v>1</v>
      </c>
      <c r="R307" s="487">
        <f t="shared" si="56"/>
        <v>0</v>
      </c>
      <c r="S307" s="796">
        <f t="shared" si="57"/>
        <v>0</v>
      </c>
    </row>
    <row r="308" spans="1:19">
      <c r="A308" s="961"/>
      <c r="B308" s="137"/>
      <c r="C308" s="53">
        <f t="shared" si="48"/>
        <v>1</v>
      </c>
      <c r="D308" s="959"/>
      <c r="E308" s="53">
        <f t="shared" si="49"/>
        <v>1</v>
      </c>
      <c r="F308" s="959"/>
      <c r="G308" s="53">
        <f t="shared" si="50"/>
        <v>1</v>
      </c>
      <c r="H308" s="959"/>
      <c r="I308" s="53">
        <f t="shared" si="51"/>
        <v>1</v>
      </c>
      <c r="J308" s="959"/>
      <c r="K308" s="53">
        <f t="shared" si="52"/>
        <v>1</v>
      </c>
      <c r="L308" s="959"/>
      <c r="M308" s="53">
        <f t="shared" si="53"/>
        <v>1</v>
      </c>
      <c r="N308" s="959"/>
      <c r="O308" s="53">
        <f t="shared" si="54"/>
        <v>1</v>
      </c>
      <c r="P308" s="959"/>
      <c r="Q308" s="53">
        <f t="shared" si="55"/>
        <v>1</v>
      </c>
      <c r="R308" s="487">
        <f t="shared" si="56"/>
        <v>0</v>
      </c>
      <c r="S308" s="796">
        <f t="shared" si="57"/>
        <v>0</v>
      </c>
    </row>
    <row r="309" spans="1:19">
      <c r="A309" s="961"/>
      <c r="B309" s="137"/>
      <c r="C309" s="53">
        <f t="shared" si="48"/>
        <v>1</v>
      </c>
      <c r="D309" s="959"/>
      <c r="E309" s="53">
        <f t="shared" si="49"/>
        <v>1</v>
      </c>
      <c r="F309" s="959"/>
      <c r="G309" s="53">
        <f t="shared" si="50"/>
        <v>1</v>
      </c>
      <c r="H309" s="959"/>
      <c r="I309" s="53">
        <f t="shared" si="51"/>
        <v>1</v>
      </c>
      <c r="J309" s="959"/>
      <c r="K309" s="53">
        <f t="shared" si="52"/>
        <v>1</v>
      </c>
      <c r="L309" s="959"/>
      <c r="M309" s="53">
        <f t="shared" si="53"/>
        <v>1</v>
      </c>
      <c r="N309" s="959"/>
      <c r="O309" s="53">
        <f t="shared" si="54"/>
        <v>1</v>
      </c>
      <c r="P309" s="959"/>
      <c r="Q309" s="53">
        <f t="shared" si="55"/>
        <v>1</v>
      </c>
      <c r="R309" s="487">
        <f t="shared" si="56"/>
        <v>0</v>
      </c>
      <c r="S309" s="796">
        <f t="shared" si="57"/>
        <v>0</v>
      </c>
    </row>
    <row r="310" spans="1:19">
      <c r="A310" s="961"/>
      <c r="B310" s="137"/>
      <c r="C310" s="53">
        <f t="shared" si="48"/>
        <v>1</v>
      </c>
      <c r="D310" s="959"/>
      <c r="E310" s="53">
        <f t="shared" si="49"/>
        <v>1</v>
      </c>
      <c r="F310" s="959"/>
      <c r="G310" s="53">
        <f t="shared" si="50"/>
        <v>1</v>
      </c>
      <c r="H310" s="959"/>
      <c r="I310" s="53">
        <f t="shared" si="51"/>
        <v>1</v>
      </c>
      <c r="J310" s="959"/>
      <c r="K310" s="53">
        <f t="shared" si="52"/>
        <v>1</v>
      </c>
      <c r="L310" s="959"/>
      <c r="M310" s="53">
        <f t="shared" si="53"/>
        <v>1</v>
      </c>
      <c r="N310" s="959"/>
      <c r="O310" s="53">
        <f t="shared" si="54"/>
        <v>1</v>
      </c>
      <c r="P310" s="959"/>
      <c r="Q310" s="53">
        <f t="shared" si="55"/>
        <v>1</v>
      </c>
      <c r="R310" s="487">
        <f t="shared" si="56"/>
        <v>0</v>
      </c>
      <c r="S310" s="796">
        <f t="shared" si="57"/>
        <v>0</v>
      </c>
    </row>
    <row r="311" spans="1:19">
      <c r="A311" s="961"/>
      <c r="B311" s="137"/>
      <c r="C311" s="53">
        <f t="shared" si="48"/>
        <v>1</v>
      </c>
      <c r="D311" s="959"/>
      <c r="E311" s="53">
        <f t="shared" si="49"/>
        <v>1</v>
      </c>
      <c r="F311" s="959"/>
      <c r="G311" s="53">
        <f t="shared" si="50"/>
        <v>1</v>
      </c>
      <c r="H311" s="959"/>
      <c r="I311" s="53">
        <f t="shared" si="51"/>
        <v>1</v>
      </c>
      <c r="J311" s="959"/>
      <c r="K311" s="53">
        <f t="shared" si="52"/>
        <v>1</v>
      </c>
      <c r="L311" s="959"/>
      <c r="M311" s="53">
        <f t="shared" si="53"/>
        <v>1</v>
      </c>
      <c r="N311" s="959"/>
      <c r="O311" s="53">
        <f t="shared" si="54"/>
        <v>1</v>
      </c>
      <c r="P311" s="959"/>
      <c r="Q311" s="53">
        <f t="shared" si="55"/>
        <v>1</v>
      </c>
      <c r="R311" s="487">
        <f t="shared" si="56"/>
        <v>0</v>
      </c>
      <c r="S311" s="796">
        <f t="shared" si="57"/>
        <v>0</v>
      </c>
    </row>
    <row r="312" spans="1:19">
      <c r="A312" s="961"/>
      <c r="B312" s="137"/>
      <c r="C312" s="53">
        <f t="shared" si="48"/>
        <v>1</v>
      </c>
      <c r="D312" s="959"/>
      <c r="E312" s="53">
        <f t="shared" si="49"/>
        <v>1</v>
      </c>
      <c r="F312" s="959"/>
      <c r="G312" s="53">
        <f t="shared" si="50"/>
        <v>1</v>
      </c>
      <c r="H312" s="959"/>
      <c r="I312" s="53">
        <f t="shared" si="51"/>
        <v>1</v>
      </c>
      <c r="J312" s="959"/>
      <c r="K312" s="53">
        <f t="shared" si="52"/>
        <v>1</v>
      </c>
      <c r="L312" s="959"/>
      <c r="M312" s="53">
        <f t="shared" si="53"/>
        <v>1</v>
      </c>
      <c r="N312" s="959"/>
      <c r="O312" s="53">
        <f t="shared" si="54"/>
        <v>1</v>
      </c>
      <c r="P312" s="959"/>
      <c r="Q312" s="53">
        <f t="shared" si="55"/>
        <v>1</v>
      </c>
      <c r="R312" s="487">
        <f t="shared" si="56"/>
        <v>0</v>
      </c>
      <c r="S312" s="796">
        <f t="shared" si="57"/>
        <v>0</v>
      </c>
    </row>
    <row r="313" spans="1:19">
      <c r="A313" s="961"/>
      <c r="B313" s="137"/>
      <c r="C313" s="53">
        <f t="shared" si="48"/>
        <v>1</v>
      </c>
      <c r="D313" s="959"/>
      <c r="E313" s="53">
        <f t="shared" si="49"/>
        <v>1</v>
      </c>
      <c r="F313" s="959"/>
      <c r="G313" s="53">
        <f t="shared" si="50"/>
        <v>1</v>
      </c>
      <c r="H313" s="959"/>
      <c r="I313" s="53">
        <f t="shared" si="51"/>
        <v>1</v>
      </c>
      <c r="J313" s="959"/>
      <c r="K313" s="53">
        <f t="shared" si="52"/>
        <v>1</v>
      </c>
      <c r="L313" s="959"/>
      <c r="M313" s="53">
        <f t="shared" si="53"/>
        <v>1</v>
      </c>
      <c r="N313" s="959"/>
      <c r="O313" s="53">
        <f t="shared" si="54"/>
        <v>1</v>
      </c>
      <c r="P313" s="959"/>
      <c r="Q313" s="53">
        <f t="shared" si="55"/>
        <v>1</v>
      </c>
      <c r="R313" s="487">
        <f t="shared" si="56"/>
        <v>0</v>
      </c>
      <c r="S313" s="796">
        <f t="shared" si="57"/>
        <v>0</v>
      </c>
    </row>
    <row r="314" spans="1:19">
      <c r="A314" s="961"/>
      <c r="B314" s="137"/>
      <c r="C314" s="53">
        <f t="shared" si="48"/>
        <v>1</v>
      </c>
      <c r="D314" s="959"/>
      <c r="E314" s="53">
        <f t="shared" si="49"/>
        <v>1</v>
      </c>
      <c r="F314" s="959"/>
      <c r="G314" s="53">
        <f t="shared" si="50"/>
        <v>1</v>
      </c>
      <c r="H314" s="959"/>
      <c r="I314" s="53">
        <f t="shared" si="51"/>
        <v>1</v>
      </c>
      <c r="J314" s="959"/>
      <c r="K314" s="53">
        <f t="shared" si="52"/>
        <v>1</v>
      </c>
      <c r="L314" s="959"/>
      <c r="M314" s="53">
        <f t="shared" si="53"/>
        <v>1</v>
      </c>
      <c r="N314" s="959"/>
      <c r="O314" s="53">
        <f t="shared" si="54"/>
        <v>1</v>
      </c>
      <c r="P314" s="959"/>
      <c r="Q314" s="53">
        <f t="shared" si="55"/>
        <v>1</v>
      </c>
      <c r="R314" s="487">
        <f t="shared" si="56"/>
        <v>0</v>
      </c>
      <c r="S314" s="796">
        <f t="shared" si="57"/>
        <v>0</v>
      </c>
    </row>
    <row r="315" spans="1:19">
      <c r="A315" s="961"/>
      <c r="B315" s="137"/>
      <c r="C315" s="53">
        <f t="shared" si="48"/>
        <v>1</v>
      </c>
      <c r="D315" s="959"/>
      <c r="E315" s="53">
        <f t="shared" si="49"/>
        <v>1</v>
      </c>
      <c r="F315" s="959"/>
      <c r="G315" s="53">
        <f t="shared" si="50"/>
        <v>1</v>
      </c>
      <c r="H315" s="959"/>
      <c r="I315" s="53">
        <f t="shared" si="51"/>
        <v>1</v>
      </c>
      <c r="J315" s="959"/>
      <c r="K315" s="53">
        <f t="shared" si="52"/>
        <v>1</v>
      </c>
      <c r="L315" s="959"/>
      <c r="M315" s="53">
        <f t="shared" si="53"/>
        <v>1</v>
      </c>
      <c r="N315" s="959"/>
      <c r="O315" s="53">
        <f t="shared" si="54"/>
        <v>1</v>
      </c>
      <c r="P315" s="959"/>
      <c r="Q315" s="53">
        <f t="shared" si="55"/>
        <v>1</v>
      </c>
      <c r="R315" s="487">
        <f t="shared" si="56"/>
        <v>0</v>
      </c>
      <c r="S315" s="796">
        <f t="shared" si="57"/>
        <v>0</v>
      </c>
    </row>
    <row r="316" spans="1:19">
      <c r="A316" s="961"/>
      <c r="B316" s="137"/>
      <c r="C316" s="53">
        <f t="shared" si="48"/>
        <v>1</v>
      </c>
      <c r="D316" s="959"/>
      <c r="E316" s="53">
        <f t="shared" si="49"/>
        <v>1</v>
      </c>
      <c r="F316" s="959"/>
      <c r="G316" s="53">
        <f t="shared" si="50"/>
        <v>1</v>
      </c>
      <c r="H316" s="959"/>
      <c r="I316" s="53">
        <f t="shared" si="51"/>
        <v>1</v>
      </c>
      <c r="J316" s="959"/>
      <c r="K316" s="53">
        <f t="shared" si="52"/>
        <v>1</v>
      </c>
      <c r="L316" s="959"/>
      <c r="M316" s="53">
        <f t="shared" si="53"/>
        <v>1</v>
      </c>
      <c r="N316" s="959"/>
      <c r="O316" s="53">
        <f t="shared" si="54"/>
        <v>1</v>
      </c>
      <c r="P316" s="959"/>
      <c r="Q316" s="53">
        <f t="shared" si="55"/>
        <v>1</v>
      </c>
      <c r="R316" s="487">
        <f t="shared" si="56"/>
        <v>0</v>
      </c>
      <c r="S316" s="796">
        <f t="shared" si="57"/>
        <v>0</v>
      </c>
    </row>
    <row r="317" spans="1:19">
      <c r="A317" s="961"/>
      <c r="B317" s="137"/>
      <c r="C317" s="53">
        <f t="shared" si="48"/>
        <v>1</v>
      </c>
      <c r="D317" s="959"/>
      <c r="E317" s="53">
        <f t="shared" si="49"/>
        <v>1</v>
      </c>
      <c r="F317" s="959"/>
      <c r="G317" s="53">
        <f t="shared" si="50"/>
        <v>1</v>
      </c>
      <c r="H317" s="959"/>
      <c r="I317" s="53">
        <f t="shared" si="51"/>
        <v>1</v>
      </c>
      <c r="J317" s="959"/>
      <c r="K317" s="53">
        <f t="shared" si="52"/>
        <v>1</v>
      </c>
      <c r="L317" s="959"/>
      <c r="M317" s="53">
        <f t="shared" si="53"/>
        <v>1</v>
      </c>
      <c r="N317" s="959"/>
      <c r="O317" s="53">
        <f t="shared" si="54"/>
        <v>1</v>
      </c>
      <c r="P317" s="959"/>
      <c r="Q317" s="53">
        <f t="shared" si="55"/>
        <v>1</v>
      </c>
      <c r="R317" s="487">
        <f t="shared" si="56"/>
        <v>0</v>
      </c>
      <c r="S317" s="796">
        <f t="shared" si="57"/>
        <v>0</v>
      </c>
    </row>
    <row r="318" spans="1:19">
      <c r="A318" s="961"/>
      <c r="B318" s="137"/>
      <c r="C318" s="53">
        <f t="shared" si="48"/>
        <v>1</v>
      </c>
      <c r="D318" s="959"/>
      <c r="E318" s="53">
        <f t="shared" si="49"/>
        <v>1</v>
      </c>
      <c r="F318" s="959"/>
      <c r="G318" s="53">
        <f t="shared" si="50"/>
        <v>1</v>
      </c>
      <c r="H318" s="959"/>
      <c r="I318" s="53">
        <f t="shared" si="51"/>
        <v>1</v>
      </c>
      <c r="J318" s="959"/>
      <c r="K318" s="53">
        <f t="shared" si="52"/>
        <v>1</v>
      </c>
      <c r="L318" s="959"/>
      <c r="M318" s="53">
        <f t="shared" si="53"/>
        <v>1</v>
      </c>
      <c r="N318" s="959"/>
      <c r="O318" s="53">
        <f t="shared" si="54"/>
        <v>1</v>
      </c>
      <c r="P318" s="959"/>
      <c r="Q318" s="53">
        <f t="shared" si="55"/>
        <v>1</v>
      </c>
      <c r="R318" s="487">
        <f t="shared" si="56"/>
        <v>0</v>
      </c>
      <c r="S318" s="796">
        <f t="shared" si="57"/>
        <v>0</v>
      </c>
    </row>
    <row r="319" spans="1:19">
      <c r="A319" s="961"/>
      <c r="B319" s="137"/>
      <c r="C319" s="53">
        <f t="shared" si="48"/>
        <v>1</v>
      </c>
      <c r="D319" s="959"/>
      <c r="E319" s="53">
        <f t="shared" si="49"/>
        <v>1</v>
      </c>
      <c r="F319" s="959"/>
      <c r="G319" s="53">
        <f t="shared" si="50"/>
        <v>1</v>
      </c>
      <c r="H319" s="959"/>
      <c r="I319" s="53">
        <f t="shared" si="51"/>
        <v>1</v>
      </c>
      <c r="J319" s="959"/>
      <c r="K319" s="53">
        <f t="shared" si="52"/>
        <v>1</v>
      </c>
      <c r="L319" s="959"/>
      <c r="M319" s="53">
        <f t="shared" si="53"/>
        <v>1</v>
      </c>
      <c r="N319" s="959"/>
      <c r="O319" s="53">
        <f t="shared" si="54"/>
        <v>1</v>
      </c>
      <c r="P319" s="959"/>
      <c r="Q319" s="53">
        <f t="shared" si="55"/>
        <v>1</v>
      </c>
      <c r="R319" s="487">
        <f t="shared" si="56"/>
        <v>0</v>
      </c>
      <c r="S319" s="796">
        <f t="shared" si="57"/>
        <v>0</v>
      </c>
    </row>
    <row r="320" spans="1:19">
      <c r="A320" s="961"/>
      <c r="B320" s="137"/>
      <c r="C320" s="53">
        <f t="shared" si="48"/>
        <v>1</v>
      </c>
      <c r="D320" s="959"/>
      <c r="E320" s="53">
        <f t="shared" si="49"/>
        <v>1</v>
      </c>
      <c r="F320" s="959"/>
      <c r="G320" s="53">
        <f t="shared" si="50"/>
        <v>1</v>
      </c>
      <c r="H320" s="959"/>
      <c r="I320" s="53">
        <f t="shared" si="51"/>
        <v>1</v>
      </c>
      <c r="J320" s="959"/>
      <c r="K320" s="53">
        <f t="shared" si="52"/>
        <v>1</v>
      </c>
      <c r="L320" s="959"/>
      <c r="M320" s="53">
        <f t="shared" si="53"/>
        <v>1</v>
      </c>
      <c r="N320" s="959"/>
      <c r="O320" s="53">
        <f t="shared" si="54"/>
        <v>1</v>
      </c>
      <c r="P320" s="959"/>
      <c r="Q320" s="53">
        <f t="shared" si="55"/>
        <v>1</v>
      </c>
      <c r="R320" s="487">
        <f t="shared" si="56"/>
        <v>0</v>
      </c>
      <c r="S320" s="796">
        <f t="shared" si="57"/>
        <v>0</v>
      </c>
    </row>
    <row r="321" spans="1:19">
      <c r="A321" s="961"/>
      <c r="B321" s="137"/>
      <c r="C321" s="53">
        <f t="shared" si="48"/>
        <v>1</v>
      </c>
      <c r="D321" s="959"/>
      <c r="E321" s="53">
        <f t="shared" si="49"/>
        <v>1</v>
      </c>
      <c r="F321" s="959"/>
      <c r="G321" s="53">
        <f t="shared" si="50"/>
        <v>1</v>
      </c>
      <c r="H321" s="959"/>
      <c r="I321" s="53">
        <f t="shared" si="51"/>
        <v>1</v>
      </c>
      <c r="J321" s="959"/>
      <c r="K321" s="53">
        <f t="shared" si="52"/>
        <v>1</v>
      </c>
      <c r="L321" s="959"/>
      <c r="M321" s="53">
        <f t="shared" si="53"/>
        <v>1</v>
      </c>
      <c r="N321" s="959"/>
      <c r="O321" s="53">
        <f t="shared" si="54"/>
        <v>1</v>
      </c>
      <c r="P321" s="959"/>
      <c r="Q321" s="53">
        <f t="shared" si="55"/>
        <v>1</v>
      </c>
      <c r="R321" s="487">
        <f t="shared" si="56"/>
        <v>0</v>
      </c>
      <c r="S321" s="796">
        <f t="shared" ref="S321:S384" si="58">ROUND(R321*B321/10000,0)</f>
        <v>0</v>
      </c>
    </row>
    <row r="322" spans="1:19">
      <c r="A322" s="961"/>
      <c r="B322" s="137"/>
      <c r="C322" s="53">
        <f t="shared" si="48"/>
        <v>1</v>
      </c>
      <c r="D322" s="959"/>
      <c r="E322" s="53">
        <f t="shared" si="49"/>
        <v>1</v>
      </c>
      <c r="F322" s="959"/>
      <c r="G322" s="53">
        <f t="shared" si="50"/>
        <v>1</v>
      </c>
      <c r="H322" s="959"/>
      <c r="I322" s="53">
        <f t="shared" si="51"/>
        <v>1</v>
      </c>
      <c r="J322" s="959"/>
      <c r="K322" s="53">
        <f t="shared" si="52"/>
        <v>1</v>
      </c>
      <c r="L322" s="959"/>
      <c r="M322" s="53">
        <f t="shared" si="53"/>
        <v>1</v>
      </c>
      <c r="N322" s="959"/>
      <c r="O322" s="53">
        <f t="shared" si="54"/>
        <v>1</v>
      </c>
      <c r="P322" s="959"/>
      <c r="Q322" s="53">
        <f t="shared" si="55"/>
        <v>1</v>
      </c>
      <c r="R322" s="487">
        <f t="shared" si="56"/>
        <v>0</v>
      </c>
      <c r="S322" s="796">
        <f t="shared" si="58"/>
        <v>0</v>
      </c>
    </row>
    <row r="323" spans="1:19">
      <c r="A323" s="961"/>
      <c r="B323" s="137"/>
      <c r="C323" s="53">
        <f t="shared" si="48"/>
        <v>1</v>
      </c>
      <c r="D323" s="959"/>
      <c r="E323" s="53">
        <f t="shared" si="49"/>
        <v>1</v>
      </c>
      <c r="F323" s="959"/>
      <c r="G323" s="53">
        <f t="shared" si="50"/>
        <v>1</v>
      </c>
      <c r="H323" s="959"/>
      <c r="I323" s="53">
        <f t="shared" si="51"/>
        <v>1</v>
      </c>
      <c r="J323" s="959"/>
      <c r="K323" s="53">
        <f t="shared" si="52"/>
        <v>1</v>
      </c>
      <c r="L323" s="959"/>
      <c r="M323" s="53">
        <f t="shared" si="53"/>
        <v>1</v>
      </c>
      <c r="N323" s="959"/>
      <c r="O323" s="53">
        <f t="shared" si="54"/>
        <v>1</v>
      </c>
      <c r="P323" s="959"/>
      <c r="Q323" s="53">
        <f t="shared" si="55"/>
        <v>1</v>
      </c>
      <c r="R323" s="487">
        <f t="shared" si="56"/>
        <v>0</v>
      </c>
      <c r="S323" s="796">
        <f t="shared" si="58"/>
        <v>0</v>
      </c>
    </row>
    <row r="324" spans="1:19">
      <c r="A324" s="961"/>
      <c r="B324" s="137"/>
      <c r="C324" s="53">
        <f t="shared" si="48"/>
        <v>1</v>
      </c>
      <c r="D324" s="959"/>
      <c r="E324" s="53">
        <f t="shared" si="49"/>
        <v>1</v>
      </c>
      <c r="F324" s="959"/>
      <c r="G324" s="53">
        <f t="shared" si="50"/>
        <v>1</v>
      </c>
      <c r="H324" s="959"/>
      <c r="I324" s="53">
        <f t="shared" si="51"/>
        <v>1</v>
      </c>
      <c r="J324" s="959"/>
      <c r="K324" s="53">
        <f t="shared" si="52"/>
        <v>1</v>
      </c>
      <c r="L324" s="959"/>
      <c r="M324" s="53">
        <f t="shared" si="53"/>
        <v>1</v>
      </c>
      <c r="N324" s="959"/>
      <c r="O324" s="53">
        <f t="shared" si="54"/>
        <v>1</v>
      </c>
      <c r="P324" s="959"/>
      <c r="Q324" s="53">
        <f t="shared" si="55"/>
        <v>1</v>
      </c>
      <c r="R324" s="487">
        <f t="shared" si="56"/>
        <v>0</v>
      </c>
      <c r="S324" s="796">
        <f t="shared" si="58"/>
        <v>0</v>
      </c>
    </row>
    <row r="325" spans="1:19">
      <c r="A325" s="961"/>
      <c r="B325" s="137"/>
      <c r="C325" s="53">
        <f t="shared" si="48"/>
        <v>1</v>
      </c>
      <c r="D325" s="959"/>
      <c r="E325" s="53">
        <f t="shared" si="49"/>
        <v>1</v>
      </c>
      <c r="F325" s="959"/>
      <c r="G325" s="53">
        <f t="shared" si="50"/>
        <v>1</v>
      </c>
      <c r="H325" s="959"/>
      <c r="I325" s="53">
        <f t="shared" si="51"/>
        <v>1</v>
      </c>
      <c r="J325" s="959"/>
      <c r="K325" s="53">
        <f t="shared" si="52"/>
        <v>1</v>
      </c>
      <c r="L325" s="959"/>
      <c r="M325" s="53">
        <f t="shared" si="53"/>
        <v>1</v>
      </c>
      <c r="N325" s="959"/>
      <c r="O325" s="53">
        <f t="shared" si="54"/>
        <v>1</v>
      </c>
      <c r="P325" s="959"/>
      <c r="Q325" s="53">
        <f t="shared" si="55"/>
        <v>1</v>
      </c>
      <c r="R325" s="487">
        <f t="shared" si="56"/>
        <v>0</v>
      </c>
      <c r="S325" s="796">
        <f t="shared" si="58"/>
        <v>0</v>
      </c>
    </row>
    <row r="326" spans="1:19">
      <c r="A326" s="961"/>
      <c r="B326" s="137"/>
      <c r="C326" s="53">
        <f t="shared" si="48"/>
        <v>1</v>
      </c>
      <c r="D326" s="959"/>
      <c r="E326" s="53">
        <f t="shared" si="49"/>
        <v>1</v>
      </c>
      <c r="F326" s="959"/>
      <c r="G326" s="53">
        <f t="shared" si="50"/>
        <v>1</v>
      </c>
      <c r="H326" s="959"/>
      <c r="I326" s="53">
        <f t="shared" si="51"/>
        <v>1</v>
      </c>
      <c r="J326" s="959"/>
      <c r="K326" s="53">
        <f t="shared" si="52"/>
        <v>1</v>
      </c>
      <c r="L326" s="959"/>
      <c r="M326" s="53">
        <f t="shared" si="53"/>
        <v>1</v>
      </c>
      <c r="N326" s="959"/>
      <c r="O326" s="53">
        <f t="shared" si="54"/>
        <v>1</v>
      </c>
      <c r="P326" s="959"/>
      <c r="Q326" s="53">
        <f t="shared" si="55"/>
        <v>1</v>
      </c>
      <c r="R326" s="487">
        <f t="shared" si="56"/>
        <v>0</v>
      </c>
      <c r="S326" s="796">
        <f t="shared" si="58"/>
        <v>0</v>
      </c>
    </row>
    <row r="327" spans="1:19">
      <c r="A327" s="961"/>
      <c r="B327" s="137"/>
      <c r="C327" s="53">
        <f t="shared" si="48"/>
        <v>1</v>
      </c>
      <c r="D327" s="959"/>
      <c r="E327" s="53">
        <f t="shared" si="49"/>
        <v>1</v>
      </c>
      <c r="F327" s="959"/>
      <c r="G327" s="53">
        <f t="shared" si="50"/>
        <v>1</v>
      </c>
      <c r="H327" s="959"/>
      <c r="I327" s="53">
        <f t="shared" si="51"/>
        <v>1</v>
      </c>
      <c r="J327" s="959"/>
      <c r="K327" s="53">
        <f t="shared" si="52"/>
        <v>1</v>
      </c>
      <c r="L327" s="959"/>
      <c r="M327" s="53">
        <f t="shared" si="53"/>
        <v>1</v>
      </c>
      <c r="N327" s="959"/>
      <c r="O327" s="53">
        <f t="shared" si="54"/>
        <v>1</v>
      </c>
      <c r="P327" s="959"/>
      <c r="Q327" s="53">
        <f t="shared" si="55"/>
        <v>1</v>
      </c>
      <c r="R327" s="487">
        <f t="shared" si="56"/>
        <v>0</v>
      </c>
      <c r="S327" s="796">
        <f t="shared" si="58"/>
        <v>0</v>
      </c>
    </row>
    <row r="328" spans="1:19">
      <c r="A328" s="961"/>
      <c r="B328" s="137"/>
      <c r="C328" s="53">
        <f t="shared" si="48"/>
        <v>1</v>
      </c>
      <c r="D328" s="959"/>
      <c r="E328" s="53">
        <f t="shared" si="49"/>
        <v>1</v>
      </c>
      <c r="F328" s="959"/>
      <c r="G328" s="53">
        <f t="shared" si="50"/>
        <v>1</v>
      </c>
      <c r="H328" s="959"/>
      <c r="I328" s="53">
        <f t="shared" si="51"/>
        <v>1</v>
      </c>
      <c r="J328" s="959"/>
      <c r="K328" s="53">
        <f t="shared" si="52"/>
        <v>1</v>
      </c>
      <c r="L328" s="959"/>
      <c r="M328" s="53">
        <f t="shared" si="53"/>
        <v>1</v>
      </c>
      <c r="N328" s="959"/>
      <c r="O328" s="53">
        <f t="shared" si="54"/>
        <v>1</v>
      </c>
      <c r="P328" s="959"/>
      <c r="Q328" s="53">
        <f t="shared" si="55"/>
        <v>1</v>
      </c>
      <c r="R328" s="487">
        <f t="shared" si="56"/>
        <v>0</v>
      </c>
      <c r="S328" s="796">
        <f t="shared" si="58"/>
        <v>0</v>
      </c>
    </row>
    <row r="329" spans="1:19">
      <c r="A329" s="961"/>
      <c r="B329" s="137"/>
      <c r="C329" s="53">
        <f t="shared" si="48"/>
        <v>1</v>
      </c>
      <c r="D329" s="959"/>
      <c r="E329" s="53">
        <f t="shared" si="49"/>
        <v>1</v>
      </c>
      <c r="F329" s="959"/>
      <c r="G329" s="53">
        <f t="shared" si="50"/>
        <v>1</v>
      </c>
      <c r="H329" s="959"/>
      <c r="I329" s="53">
        <f t="shared" si="51"/>
        <v>1</v>
      </c>
      <c r="J329" s="959"/>
      <c r="K329" s="53">
        <f t="shared" si="52"/>
        <v>1</v>
      </c>
      <c r="L329" s="959"/>
      <c r="M329" s="53">
        <f t="shared" si="53"/>
        <v>1</v>
      </c>
      <c r="N329" s="959"/>
      <c r="O329" s="53">
        <f t="shared" si="54"/>
        <v>1</v>
      </c>
      <c r="P329" s="959"/>
      <c r="Q329" s="53">
        <f t="shared" si="55"/>
        <v>1</v>
      </c>
      <c r="R329" s="487">
        <f t="shared" si="56"/>
        <v>0</v>
      </c>
      <c r="S329" s="796">
        <f t="shared" si="58"/>
        <v>0</v>
      </c>
    </row>
    <row r="330" spans="1:19">
      <c r="A330" s="961"/>
      <c r="B330" s="137"/>
      <c r="C330" s="53">
        <f t="shared" si="48"/>
        <v>1</v>
      </c>
      <c r="D330" s="959"/>
      <c r="E330" s="53">
        <f t="shared" si="49"/>
        <v>1</v>
      </c>
      <c r="F330" s="959"/>
      <c r="G330" s="53">
        <f t="shared" si="50"/>
        <v>1</v>
      </c>
      <c r="H330" s="959"/>
      <c r="I330" s="53">
        <f t="shared" si="51"/>
        <v>1</v>
      </c>
      <c r="J330" s="959"/>
      <c r="K330" s="53">
        <f t="shared" si="52"/>
        <v>1</v>
      </c>
      <c r="L330" s="959"/>
      <c r="M330" s="53">
        <f t="shared" si="53"/>
        <v>1</v>
      </c>
      <c r="N330" s="959"/>
      <c r="O330" s="53">
        <f t="shared" si="54"/>
        <v>1</v>
      </c>
      <c r="P330" s="959"/>
      <c r="Q330" s="53">
        <f t="shared" si="55"/>
        <v>1</v>
      </c>
      <c r="R330" s="487">
        <f t="shared" si="56"/>
        <v>0</v>
      </c>
      <c r="S330" s="796">
        <f t="shared" si="58"/>
        <v>0</v>
      </c>
    </row>
    <row r="331" spans="1:19">
      <c r="A331" s="961"/>
      <c r="B331" s="137"/>
      <c r="C331" s="53">
        <f t="shared" si="48"/>
        <v>1</v>
      </c>
      <c r="D331" s="959"/>
      <c r="E331" s="53">
        <f t="shared" si="49"/>
        <v>1</v>
      </c>
      <c r="F331" s="959"/>
      <c r="G331" s="53">
        <f t="shared" si="50"/>
        <v>1</v>
      </c>
      <c r="H331" s="959"/>
      <c r="I331" s="53">
        <f t="shared" si="51"/>
        <v>1</v>
      </c>
      <c r="J331" s="959"/>
      <c r="K331" s="53">
        <f t="shared" si="52"/>
        <v>1</v>
      </c>
      <c r="L331" s="959"/>
      <c r="M331" s="53">
        <f t="shared" si="53"/>
        <v>1</v>
      </c>
      <c r="N331" s="959"/>
      <c r="O331" s="53">
        <f t="shared" si="54"/>
        <v>1</v>
      </c>
      <c r="P331" s="959"/>
      <c r="Q331" s="53">
        <f t="shared" si="55"/>
        <v>1</v>
      </c>
      <c r="R331" s="487">
        <f t="shared" si="56"/>
        <v>0</v>
      </c>
      <c r="S331" s="796">
        <f t="shared" si="58"/>
        <v>0</v>
      </c>
    </row>
    <row r="332" spans="1:19">
      <c r="A332" s="961"/>
      <c r="B332" s="137"/>
      <c r="C332" s="53">
        <f t="shared" si="48"/>
        <v>1</v>
      </c>
      <c r="D332" s="959"/>
      <c r="E332" s="53">
        <f t="shared" si="49"/>
        <v>1</v>
      </c>
      <c r="F332" s="959"/>
      <c r="G332" s="53">
        <f t="shared" si="50"/>
        <v>1</v>
      </c>
      <c r="H332" s="959"/>
      <c r="I332" s="53">
        <f t="shared" si="51"/>
        <v>1</v>
      </c>
      <c r="J332" s="959"/>
      <c r="K332" s="53">
        <f t="shared" si="52"/>
        <v>1</v>
      </c>
      <c r="L332" s="959"/>
      <c r="M332" s="53">
        <f t="shared" si="53"/>
        <v>1</v>
      </c>
      <c r="N332" s="959"/>
      <c r="O332" s="53">
        <f t="shared" si="54"/>
        <v>1</v>
      </c>
      <c r="P332" s="959"/>
      <c r="Q332" s="53">
        <f t="shared" si="55"/>
        <v>1</v>
      </c>
      <c r="R332" s="487">
        <f t="shared" si="56"/>
        <v>0</v>
      </c>
      <c r="S332" s="796">
        <f t="shared" si="58"/>
        <v>0</v>
      </c>
    </row>
    <row r="333" spans="1:19">
      <c r="A333" s="961"/>
      <c r="B333" s="137"/>
      <c r="C333" s="53">
        <f t="shared" si="48"/>
        <v>1</v>
      </c>
      <c r="D333" s="959"/>
      <c r="E333" s="53">
        <f t="shared" si="49"/>
        <v>1</v>
      </c>
      <c r="F333" s="959"/>
      <c r="G333" s="53">
        <f t="shared" si="50"/>
        <v>1</v>
      </c>
      <c r="H333" s="959"/>
      <c r="I333" s="53">
        <f t="shared" si="51"/>
        <v>1</v>
      </c>
      <c r="J333" s="959"/>
      <c r="K333" s="53">
        <f t="shared" si="52"/>
        <v>1</v>
      </c>
      <c r="L333" s="959"/>
      <c r="M333" s="53">
        <f t="shared" si="53"/>
        <v>1</v>
      </c>
      <c r="N333" s="959"/>
      <c r="O333" s="53">
        <f t="shared" si="54"/>
        <v>1</v>
      </c>
      <c r="P333" s="959"/>
      <c r="Q333" s="53">
        <f t="shared" si="55"/>
        <v>1</v>
      </c>
      <c r="R333" s="487">
        <f t="shared" si="56"/>
        <v>0</v>
      </c>
      <c r="S333" s="796">
        <f t="shared" si="58"/>
        <v>0</v>
      </c>
    </row>
    <row r="334" spans="1:19">
      <c r="A334" s="961"/>
      <c r="B334" s="137"/>
      <c r="C334" s="53">
        <f t="shared" si="48"/>
        <v>1</v>
      </c>
      <c r="D334" s="959"/>
      <c r="E334" s="53">
        <f t="shared" si="49"/>
        <v>1</v>
      </c>
      <c r="F334" s="959"/>
      <c r="G334" s="53">
        <f t="shared" si="50"/>
        <v>1</v>
      </c>
      <c r="H334" s="959"/>
      <c r="I334" s="53">
        <f t="shared" si="51"/>
        <v>1</v>
      </c>
      <c r="J334" s="959"/>
      <c r="K334" s="53">
        <f t="shared" si="52"/>
        <v>1</v>
      </c>
      <c r="L334" s="959"/>
      <c r="M334" s="53">
        <f t="shared" si="53"/>
        <v>1</v>
      </c>
      <c r="N334" s="959"/>
      <c r="O334" s="53">
        <f t="shared" si="54"/>
        <v>1</v>
      </c>
      <c r="P334" s="959"/>
      <c r="Q334" s="53">
        <f t="shared" si="55"/>
        <v>1</v>
      </c>
      <c r="R334" s="487">
        <f t="shared" si="56"/>
        <v>0</v>
      </c>
      <c r="S334" s="796">
        <f t="shared" si="58"/>
        <v>0</v>
      </c>
    </row>
    <row r="335" spans="1:19">
      <c r="A335" s="961"/>
      <c r="B335" s="137"/>
      <c r="C335" s="53">
        <f t="shared" si="48"/>
        <v>1</v>
      </c>
      <c r="D335" s="959"/>
      <c r="E335" s="53">
        <f t="shared" si="49"/>
        <v>1</v>
      </c>
      <c r="F335" s="959"/>
      <c r="G335" s="53">
        <f t="shared" si="50"/>
        <v>1</v>
      </c>
      <c r="H335" s="959"/>
      <c r="I335" s="53">
        <f t="shared" si="51"/>
        <v>1</v>
      </c>
      <c r="J335" s="959"/>
      <c r="K335" s="53">
        <f t="shared" si="52"/>
        <v>1</v>
      </c>
      <c r="L335" s="959"/>
      <c r="M335" s="53">
        <f t="shared" si="53"/>
        <v>1</v>
      </c>
      <c r="N335" s="959"/>
      <c r="O335" s="53">
        <f t="shared" si="54"/>
        <v>1</v>
      </c>
      <c r="P335" s="959"/>
      <c r="Q335" s="53">
        <f t="shared" si="55"/>
        <v>1</v>
      </c>
      <c r="R335" s="487">
        <f t="shared" si="56"/>
        <v>0</v>
      </c>
      <c r="S335" s="796">
        <f t="shared" si="58"/>
        <v>0</v>
      </c>
    </row>
    <row r="336" spans="1:19">
      <c r="A336" s="961"/>
      <c r="B336" s="137"/>
      <c r="C336" s="53">
        <f t="shared" si="48"/>
        <v>1</v>
      </c>
      <c r="D336" s="959"/>
      <c r="E336" s="53">
        <f t="shared" si="49"/>
        <v>1</v>
      </c>
      <c r="F336" s="959"/>
      <c r="G336" s="53">
        <f t="shared" si="50"/>
        <v>1</v>
      </c>
      <c r="H336" s="959"/>
      <c r="I336" s="53">
        <f t="shared" si="51"/>
        <v>1</v>
      </c>
      <c r="J336" s="959"/>
      <c r="K336" s="53">
        <f t="shared" si="52"/>
        <v>1</v>
      </c>
      <c r="L336" s="959"/>
      <c r="M336" s="53">
        <f t="shared" si="53"/>
        <v>1</v>
      </c>
      <c r="N336" s="959"/>
      <c r="O336" s="53">
        <f t="shared" si="54"/>
        <v>1</v>
      </c>
      <c r="P336" s="959"/>
      <c r="Q336" s="53">
        <f t="shared" si="55"/>
        <v>1</v>
      </c>
      <c r="R336" s="487">
        <f t="shared" si="56"/>
        <v>0</v>
      </c>
      <c r="S336" s="796">
        <f t="shared" si="58"/>
        <v>0</v>
      </c>
    </row>
    <row r="337" spans="1:19">
      <c r="A337" s="961"/>
      <c r="B337" s="137"/>
      <c r="C337" s="53">
        <f t="shared" si="48"/>
        <v>1</v>
      </c>
      <c r="D337" s="959"/>
      <c r="E337" s="53">
        <f t="shared" si="49"/>
        <v>1</v>
      </c>
      <c r="F337" s="959"/>
      <c r="G337" s="53">
        <f t="shared" si="50"/>
        <v>1</v>
      </c>
      <c r="H337" s="959"/>
      <c r="I337" s="53">
        <f t="shared" si="51"/>
        <v>1</v>
      </c>
      <c r="J337" s="959"/>
      <c r="K337" s="53">
        <f t="shared" si="52"/>
        <v>1</v>
      </c>
      <c r="L337" s="959"/>
      <c r="M337" s="53">
        <f t="shared" si="53"/>
        <v>1</v>
      </c>
      <c r="N337" s="959"/>
      <c r="O337" s="53">
        <f t="shared" si="54"/>
        <v>1</v>
      </c>
      <c r="P337" s="959"/>
      <c r="Q337" s="53">
        <f t="shared" si="55"/>
        <v>1</v>
      </c>
      <c r="R337" s="487">
        <f t="shared" si="56"/>
        <v>0</v>
      </c>
      <c r="S337" s="796">
        <f t="shared" si="58"/>
        <v>0</v>
      </c>
    </row>
    <row r="338" spans="1:19">
      <c r="A338" s="961"/>
      <c r="B338" s="137"/>
      <c r="C338" s="53">
        <f t="shared" si="48"/>
        <v>1</v>
      </c>
      <c r="D338" s="959"/>
      <c r="E338" s="53">
        <f t="shared" si="49"/>
        <v>1</v>
      </c>
      <c r="F338" s="959"/>
      <c r="G338" s="53">
        <f t="shared" si="50"/>
        <v>1</v>
      </c>
      <c r="H338" s="959"/>
      <c r="I338" s="53">
        <f t="shared" si="51"/>
        <v>1</v>
      </c>
      <c r="J338" s="959"/>
      <c r="K338" s="53">
        <f t="shared" si="52"/>
        <v>1</v>
      </c>
      <c r="L338" s="959"/>
      <c r="M338" s="53">
        <f t="shared" si="53"/>
        <v>1</v>
      </c>
      <c r="N338" s="959"/>
      <c r="O338" s="53">
        <f t="shared" si="54"/>
        <v>1</v>
      </c>
      <c r="P338" s="959"/>
      <c r="Q338" s="53">
        <f t="shared" si="55"/>
        <v>1</v>
      </c>
      <c r="R338" s="487">
        <f t="shared" si="56"/>
        <v>0</v>
      </c>
      <c r="S338" s="796">
        <f t="shared" si="58"/>
        <v>0</v>
      </c>
    </row>
    <row r="339" spans="1:19">
      <c r="A339" s="961"/>
      <c r="B339" s="137"/>
      <c r="C339" s="53">
        <f t="shared" si="48"/>
        <v>1</v>
      </c>
      <c r="D339" s="959"/>
      <c r="E339" s="53">
        <f t="shared" si="49"/>
        <v>1</v>
      </c>
      <c r="F339" s="959"/>
      <c r="G339" s="53">
        <f t="shared" si="50"/>
        <v>1</v>
      </c>
      <c r="H339" s="959"/>
      <c r="I339" s="53">
        <f t="shared" si="51"/>
        <v>1</v>
      </c>
      <c r="J339" s="959"/>
      <c r="K339" s="53">
        <f t="shared" si="52"/>
        <v>1</v>
      </c>
      <c r="L339" s="959"/>
      <c r="M339" s="53">
        <f t="shared" si="53"/>
        <v>1</v>
      </c>
      <c r="N339" s="959"/>
      <c r="O339" s="53">
        <f t="shared" si="54"/>
        <v>1</v>
      </c>
      <c r="P339" s="959"/>
      <c r="Q339" s="53">
        <f t="shared" si="55"/>
        <v>1</v>
      </c>
      <c r="R339" s="487">
        <f t="shared" si="56"/>
        <v>0</v>
      </c>
      <c r="S339" s="796">
        <f t="shared" si="58"/>
        <v>0</v>
      </c>
    </row>
    <row r="340" spans="1:19">
      <c r="A340" s="961"/>
      <c r="B340" s="137"/>
      <c r="C340" s="53">
        <f t="shared" si="48"/>
        <v>1</v>
      </c>
      <c r="D340" s="959"/>
      <c r="E340" s="53">
        <f t="shared" si="49"/>
        <v>1</v>
      </c>
      <c r="F340" s="959"/>
      <c r="G340" s="53">
        <f t="shared" si="50"/>
        <v>1</v>
      </c>
      <c r="H340" s="959"/>
      <c r="I340" s="53">
        <f t="shared" si="51"/>
        <v>1</v>
      </c>
      <c r="J340" s="959"/>
      <c r="K340" s="53">
        <f t="shared" si="52"/>
        <v>1</v>
      </c>
      <c r="L340" s="959"/>
      <c r="M340" s="53">
        <f t="shared" si="53"/>
        <v>1</v>
      </c>
      <c r="N340" s="959"/>
      <c r="O340" s="53">
        <f t="shared" si="54"/>
        <v>1</v>
      </c>
      <c r="P340" s="959"/>
      <c r="Q340" s="53">
        <f t="shared" si="55"/>
        <v>1</v>
      </c>
      <c r="R340" s="487">
        <f t="shared" si="56"/>
        <v>0</v>
      </c>
      <c r="S340" s="796">
        <f t="shared" si="58"/>
        <v>0</v>
      </c>
    </row>
    <row r="341" spans="1:19">
      <c r="A341" s="961"/>
      <c r="B341" s="137"/>
      <c r="C341" s="53">
        <f t="shared" si="48"/>
        <v>1</v>
      </c>
      <c r="D341" s="959"/>
      <c r="E341" s="53">
        <f t="shared" si="49"/>
        <v>1</v>
      </c>
      <c r="F341" s="959"/>
      <c r="G341" s="53">
        <f t="shared" si="50"/>
        <v>1</v>
      </c>
      <c r="H341" s="959"/>
      <c r="I341" s="53">
        <f t="shared" si="51"/>
        <v>1</v>
      </c>
      <c r="J341" s="959"/>
      <c r="K341" s="53">
        <f t="shared" si="52"/>
        <v>1</v>
      </c>
      <c r="L341" s="959"/>
      <c r="M341" s="53">
        <f t="shared" si="53"/>
        <v>1</v>
      </c>
      <c r="N341" s="959"/>
      <c r="O341" s="53">
        <f t="shared" si="54"/>
        <v>1</v>
      </c>
      <c r="P341" s="959"/>
      <c r="Q341" s="53">
        <f t="shared" si="55"/>
        <v>1</v>
      </c>
      <c r="R341" s="487">
        <f t="shared" si="56"/>
        <v>0</v>
      </c>
      <c r="S341" s="796">
        <f t="shared" si="58"/>
        <v>0</v>
      </c>
    </row>
    <row r="342" spans="1:19">
      <c r="A342" s="961"/>
      <c r="B342" s="137"/>
      <c r="C342" s="53">
        <f t="shared" si="48"/>
        <v>1</v>
      </c>
      <c r="D342" s="959"/>
      <c r="E342" s="53">
        <f t="shared" si="49"/>
        <v>1</v>
      </c>
      <c r="F342" s="959"/>
      <c r="G342" s="53">
        <f t="shared" si="50"/>
        <v>1</v>
      </c>
      <c r="H342" s="959"/>
      <c r="I342" s="53">
        <f t="shared" si="51"/>
        <v>1</v>
      </c>
      <c r="J342" s="959"/>
      <c r="K342" s="53">
        <f t="shared" si="52"/>
        <v>1</v>
      </c>
      <c r="L342" s="959"/>
      <c r="M342" s="53">
        <f t="shared" si="53"/>
        <v>1</v>
      </c>
      <c r="N342" s="959"/>
      <c r="O342" s="53">
        <f t="shared" si="54"/>
        <v>1</v>
      </c>
      <c r="P342" s="959"/>
      <c r="Q342" s="53">
        <f t="shared" si="55"/>
        <v>1</v>
      </c>
      <c r="R342" s="487">
        <f t="shared" si="56"/>
        <v>0</v>
      </c>
      <c r="S342" s="796">
        <f t="shared" si="58"/>
        <v>0</v>
      </c>
    </row>
    <row r="343" spans="1:19">
      <c r="A343" s="961"/>
      <c r="B343" s="137"/>
      <c r="C343" s="53">
        <f t="shared" si="48"/>
        <v>1</v>
      </c>
      <c r="D343" s="959"/>
      <c r="E343" s="53">
        <f t="shared" si="49"/>
        <v>1</v>
      </c>
      <c r="F343" s="959"/>
      <c r="G343" s="53">
        <f t="shared" si="50"/>
        <v>1</v>
      </c>
      <c r="H343" s="959"/>
      <c r="I343" s="53">
        <f t="shared" si="51"/>
        <v>1</v>
      </c>
      <c r="J343" s="959"/>
      <c r="K343" s="53">
        <f t="shared" si="52"/>
        <v>1</v>
      </c>
      <c r="L343" s="959"/>
      <c r="M343" s="53">
        <f t="shared" si="53"/>
        <v>1</v>
      </c>
      <c r="N343" s="959"/>
      <c r="O343" s="53">
        <f t="shared" si="54"/>
        <v>1</v>
      </c>
      <c r="P343" s="959"/>
      <c r="Q343" s="53">
        <f t="shared" si="55"/>
        <v>1</v>
      </c>
      <c r="R343" s="487">
        <f t="shared" si="56"/>
        <v>0</v>
      </c>
      <c r="S343" s="796">
        <f t="shared" si="58"/>
        <v>0</v>
      </c>
    </row>
    <row r="344" spans="1:19">
      <c r="A344" s="961"/>
      <c r="B344" s="137"/>
      <c r="C344" s="53">
        <f t="shared" si="48"/>
        <v>1</v>
      </c>
      <c r="D344" s="959"/>
      <c r="E344" s="53">
        <f t="shared" si="49"/>
        <v>1</v>
      </c>
      <c r="F344" s="959"/>
      <c r="G344" s="53">
        <f t="shared" si="50"/>
        <v>1</v>
      </c>
      <c r="H344" s="959"/>
      <c r="I344" s="53">
        <f t="shared" si="51"/>
        <v>1</v>
      </c>
      <c r="J344" s="959"/>
      <c r="K344" s="53">
        <f t="shared" si="52"/>
        <v>1</v>
      </c>
      <c r="L344" s="959"/>
      <c r="M344" s="53">
        <f t="shared" si="53"/>
        <v>1</v>
      </c>
      <c r="N344" s="959"/>
      <c r="O344" s="53">
        <f t="shared" si="54"/>
        <v>1</v>
      </c>
      <c r="P344" s="959"/>
      <c r="Q344" s="53">
        <f t="shared" si="55"/>
        <v>1</v>
      </c>
      <c r="R344" s="487">
        <f t="shared" si="56"/>
        <v>0</v>
      </c>
      <c r="S344" s="796">
        <f t="shared" si="58"/>
        <v>0</v>
      </c>
    </row>
    <row r="345" spans="1:19">
      <c r="A345" s="961"/>
      <c r="B345" s="137"/>
      <c r="C345" s="53">
        <f t="shared" si="48"/>
        <v>1</v>
      </c>
      <c r="D345" s="959"/>
      <c r="E345" s="53">
        <f t="shared" si="49"/>
        <v>1</v>
      </c>
      <c r="F345" s="959"/>
      <c r="G345" s="53">
        <f t="shared" si="50"/>
        <v>1</v>
      </c>
      <c r="H345" s="959"/>
      <c r="I345" s="53">
        <f t="shared" si="51"/>
        <v>1</v>
      </c>
      <c r="J345" s="959"/>
      <c r="K345" s="53">
        <f t="shared" si="52"/>
        <v>1</v>
      </c>
      <c r="L345" s="959"/>
      <c r="M345" s="53">
        <f t="shared" si="53"/>
        <v>1</v>
      </c>
      <c r="N345" s="959"/>
      <c r="O345" s="53">
        <f t="shared" si="54"/>
        <v>1</v>
      </c>
      <c r="P345" s="959"/>
      <c r="Q345" s="53">
        <f t="shared" si="55"/>
        <v>1</v>
      </c>
      <c r="R345" s="487">
        <f t="shared" si="56"/>
        <v>0</v>
      </c>
      <c r="S345" s="796">
        <f t="shared" si="58"/>
        <v>0</v>
      </c>
    </row>
    <row r="346" spans="1:19">
      <c r="A346" s="961"/>
      <c r="B346" s="137"/>
      <c r="C346" s="53">
        <f t="shared" ref="C346:C409" si="59">IF(B346="",1,(LOOKUP(B346,$3:$3,$4:$4)-LOOKUP($B$24,$3:$3,$4:$4)+100)/100)</f>
        <v>1</v>
      </c>
      <c r="D346" s="959"/>
      <c r="E346" s="53">
        <f t="shared" ref="E346:E409" si="60">(SUMIF($5:$5,D346,$6:$6)-SUMIF($5:$5,$D$24,$6:$6)+100)/100</f>
        <v>1</v>
      </c>
      <c r="F346" s="959"/>
      <c r="G346" s="53">
        <f t="shared" ref="G346:G409" si="61">(SUMIF($7:$7,F346,$8:$8)-SUMIF($7:$7,$F$24,$8:$8)+100)/100</f>
        <v>1</v>
      </c>
      <c r="H346" s="959"/>
      <c r="I346" s="53">
        <f t="shared" ref="I346:I409" si="62">(SUMIF($9:$9,H346,$10:$10)-SUMIF($9:$9,$H$24,$10:$10)+100)/100</f>
        <v>1</v>
      </c>
      <c r="J346" s="959"/>
      <c r="K346" s="53">
        <f t="shared" ref="K346:K409" si="63">(SUMIF($11:$11,J346,$12:$12)-SUMIF($11:$11,$J$24,$12:$12)+100)/100</f>
        <v>1</v>
      </c>
      <c r="L346" s="959"/>
      <c r="M346" s="53">
        <f t="shared" ref="M346:M409" si="64">(SUMIF($13:$13,L346,$14:$14)-SUMIF($13:$13,$L$24,$14:$14)+100)/100</f>
        <v>1</v>
      </c>
      <c r="N346" s="959"/>
      <c r="O346" s="53">
        <f t="shared" ref="O346:O409" si="65">(SUMIF($15:$15,N346,$16:$16)-SUMIF($15:$15,$N$24,$16:$16)+100)/100</f>
        <v>1</v>
      </c>
      <c r="P346" s="959"/>
      <c r="Q346" s="53">
        <f t="shared" ref="Q346:Q409" si="66">(SUMIF($17:$17,P346,$18:$18)-SUMIF($17:$17,$P$24,$18:$18)+100)/100</f>
        <v>1</v>
      </c>
      <c r="R346" s="487">
        <f t="shared" ref="R346:R409" si="67">IF(B346="",0,ROUND($R$24*C346*E346*G346*I346*K346*M346*O346*Q346,0))</f>
        <v>0</v>
      </c>
      <c r="S346" s="796">
        <f t="shared" si="58"/>
        <v>0</v>
      </c>
    </row>
    <row r="347" spans="1:19">
      <c r="A347" s="961"/>
      <c r="B347" s="137"/>
      <c r="C347" s="53">
        <f t="shared" si="59"/>
        <v>1</v>
      </c>
      <c r="D347" s="959"/>
      <c r="E347" s="53">
        <f t="shared" si="60"/>
        <v>1</v>
      </c>
      <c r="F347" s="959"/>
      <c r="G347" s="53">
        <f t="shared" si="61"/>
        <v>1</v>
      </c>
      <c r="H347" s="959"/>
      <c r="I347" s="53">
        <f t="shared" si="62"/>
        <v>1</v>
      </c>
      <c r="J347" s="959"/>
      <c r="K347" s="53">
        <f t="shared" si="63"/>
        <v>1</v>
      </c>
      <c r="L347" s="959"/>
      <c r="M347" s="53">
        <f t="shared" si="64"/>
        <v>1</v>
      </c>
      <c r="N347" s="959"/>
      <c r="O347" s="53">
        <f t="shared" si="65"/>
        <v>1</v>
      </c>
      <c r="P347" s="959"/>
      <c r="Q347" s="53">
        <f t="shared" si="66"/>
        <v>1</v>
      </c>
      <c r="R347" s="487">
        <f t="shared" si="67"/>
        <v>0</v>
      </c>
      <c r="S347" s="796">
        <f t="shared" si="58"/>
        <v>0</v>
      </c>
    </row>
    <row r="348" spans="1:19">
      <c r="A348" s="961"/>
      <c r="B348" s="137"/>
      <c r="C348" s="53">
        <f t="shared" si="59"/>
        <v>1</v>
      </c>
      <c r="D348" s="959"/>
      <c r="E348" s="53">
        <f t="shared" si="60"/>
        <v>1</v>
      </c>
      <c r="F348" s="959"/>
      <c r="G348" s="53">
        <f t="shared" si="61"/>
        <v>1</v>
      </c>
      <c r="H348" s="959"/>
      <c r="I348" s="53">
        <f t="shared" si="62"/>
        <v>1</v>
      </c>
      <c r="J348" s="959"/>
      <c r="K348" s="53">
        <f t="shared" si="63"/>
        <v>1</v>
      </c>
      <c r="L348" s="959"/>
      <c r="M348" s="53">
        <f t="shared" si="64"/>
        <v>1</v>
      </c>
      <c r="N348" s="959"/>
      <c r="O348" s="53">
        <f t="shared" si="65"/>
        <v>1</v>
      </c>
      <c r="P348" s="959"/>
      <c r="Q348" s="53">
        <f t="shared" si="66"/>
        <v>1</v>
      </c>
      <c r="R348" s="487">
        <f t="shared" si="67"/>
        <v>0</v>
      </c>
      <c r="S348" s="796">
        <f t="shared" si="58"/>
        <v>0</v>
      </c>
    </row>
    <row r="349" spans="1:19">
      <c r="A349" s="961"/>
      <c r="B349" s="137"/>
      <c r="C349" s="53">
        <f t="shared" si="59"/>
        <v>1</v>
      </c>
      <c r="D349" s="959"/>
      <c r="E349" s="53">
        <f t="shared" si="60"/>
        <v>1</v>
      </c>
      <c r="F349" s="959"/>
      <c r="G349" s="53">
        <f t="shared" si="61"/>
        <v>1</v>
      </c>
      <c r="H349" s="959"/>
      <c r="I349" s="53">
        <f t="shared" si="62"/>
        <v>1</v>
      </c>
      <c r="J349" s="959"/>
      <c r="K349" s="53">
        <f t="shared" si="63"/>
        <v>1</v>
      </c>
      <c r="L349" s="959"/>
      <c r="M349" s="53">
        <f t="shared" si="64"/>
        <v>1</v>
      </c>
      <c r="N349" s="959"/>
      <c r="O349" s="53">
        <f t="shared" si="65"/>
        <v>1</v>
      </c>
      <c r="P349" s="959"/>
      <c r="Q349" s="53">
        <f t="shared" si="66"/>
        <v>1</v>
      </c>
      <c r="R349" s="487">
        <f t="shared" si="67"/>
        <v>0</v>
      </c>
      <c r="S349" s="796">
        <f t="shared" si="58"/>
        <v>0</v>
      </c>
    </row>
    <row r="350" spans="1:19">
      <c r="A350" s="961"/>
      <c r="B350" s="137"/>
      <c r="C350" s="53">
        <f t="shared" si="59"/>
        <v>1</v>
      </c>
      <c r="D350" s="959"/>
      <c r="E350" s="53">
        <f t="shared" si="60"/>
        <v>1</v>
      </c>
      <c r="F350" s="959"/>
      <c r="G350" s="53">
        <f t="shared" si="61"/>
        <v>1</v>
      </c>
      <c r="H350" s="959"/>
      <c r="I350" s="53">
        <f t="shared" si="62"/>
        <v>1</v>
      </c>
      <c r="J350" s="959"/>
      <c r="K350" s="53">
        <f t="shared" si="63"/>
        <v>1</v>
      </c>
      <c r="L350" s="959"/>
      <c r="M350" s="53">
        <f t="shared" si="64"/>
        <v>1</v>
      </c>
      <c r="N350" s="959"/>
      <c r="O350" s="53">
        <f t="shared" si="65"/>
        <v>1</v>
      </c>
      <c r="P350" s="959"/>
      <c r="Q350" s="53">
        <f t="shared" si="66"/>
        <v>1</v>
      </c>
      <c r="R350" s="487">
        <f t="shared" si="67"/>
        <v>0</v>
      </c>
      <c r="S350" s="796">
        <f t="shared" si="58"/>
        <v>0</v>
      </c>
    </row>
    <row r="351" spans="1:19">
      <c r="A351" s="961"/>
      <c r="B351" s="137"/>
      <c r="C351" s="53">
        <f t="shared" si="59"/>
        <v>1</v>
      </c>
      <c r="D351" s="959"/>
      <c r="E351" s="53">
        <f t="shared" si="60"/>
        <v>1</v>
      </c>
      <c r="F351" s="959"/>
      <c r="G351" s="53">
        <f t="shared" si="61"/>
        <v>1</v>
      </c>
      <c r="H351" s="959"/>
      <c r="I351" s="53">
        <f t="shared" si="62"/>
        <v>1</v>
      </c>
      <c r="J351" s="959"/>
      <c r="K351" s="53">
        <f t="shared" si="63"/>
        <v>1</v>
      </c>
      <c r="L351" s="959"/>
      <c r="M351" s="53">
        <f t="shared" si="64"/>
        <v>1</v>
      </c>
      <c r="N351" s="959"/>
      <c r="O351" s="53">
        <f t="shared" si="65"/>
        <v>1</v>
      </c>
      <c r="P351" s="959"/>
      <c r="Q351" s="53">
        <f t="shared" si="66"/>
        <v>1</v>
      </c>
      <c r="R351" s="487">
        <f t="shared" si="67"/>
        <v>0</v>
      </c>
      <c r="S351" s="796">
        <f t="shared" si="58"/>
        <v>0</v>
      </c>
    </row>
    <row r="352" spans="1:19">
      <c r="A352" s="961"/>
      <c r="B352" s="137"/>
      <c r="C352" s="53">
        <f t="shared" si="59"/>
        <v>1</v>
      </c>
      <c r="D352" s="959"/>
      <c r="E352" s="53">
        <f t="shared" si="60"/>
        <v>1</v>
      </c>
      <c r="F352" s="959"/>
      <c r="G352" s="53">
        <f t="shared" si="61"/>
        <v>1</v>
      </c>
      <c r="H352" s="959"/>
      <c r="I352" s="53">
        <f t="shared" si="62"/>
        <v>1</v>
      </c>
      <c r="J352" s="959"/>
      <c r="K352" s="53">
        <f t="shared" si="63"/>
        <v>1</v>
      </c>
      <c r="L352" s="959"/>
      <c r="M352" s="53">
        <f t="shared" si="64"/>
        <v>1</v>
      </c>
      <c r="N352" s="959"/>
      <c r="O352" s="53">
        <f t="shared" si="65"/>
        <v>1</v>
      </c>
      <c r="P352" s="959"/>
      <c r="Q352" s="53">
        <f t="shared" si="66"/>
        <v>1</v>
      </c>
      <c r="R352" s="487">
        <f t="shared" si="67"/>
        <v>0</v>
      </c>
      <c r="S352" s="796">
        <f t="shared" si="58"/>
        <v>0</v>
      </c>
    </row>
    <row r="353" spans="1:19">
      <c r="A353" s="961"/>
      <c r="B353" s="137"/>
      <c r="C353" s="53">
        <f t="shared" si="59"/>
        <v>1</v>
      </c>
      <c r="D353" s="959"/>
      <c r="E353" s="53">
        <f t="shared" si="60"/>
        <v>1</v>
      </c>
      <c r="F353" s="959"/>
      <c r="G353" s="53">
        <f t="shared" si="61"/>
        <v>1</v>
      </c>
      <c r="H353" s="959"/>
      <c r="I353" s="53">
        <f t="shared" si="62"/>
        <v>1</v>
      </c>
      <c r="J353" s="959"/>
      <c r="K353" s="53">
        <f t="shared" si="63"/>
        <v>1</v>
      </c>
      <c r="L353" s="959"/>
      <c r="M353" s="53">
        <f t="shared" si="64"/>
        <v>1</v>
      </c>
      <c r="N353" s="959"/>
      <c r="O353" s="53">
        <f t="shared" si="65"/>
        <v>1</v>
      </c>
      <c r="P353" s="959"/>
      <c r="Q353" s="53">
        <f t="shared" si="66"/>
        <v>1</v>
      </c>
      <c r="R353" s="487">
        <f t="shared" si="67"/>
        <v>0</v>
      </c>
      <c r="S353" s="796">
        <f t="shared" si="58"/>
        <v>0</v>
      </c>
    </row>
    <row r="354" spans="1:19">
      <c r="A354" s="961"/>
      <c r="B354" s="137"/>
      <c r="C354" s="53">
        <f t="shared" si="59"/>
        <v>1</v>
      </c>
      <c r="D354" s="959"/>
      <c r="E354" s="53">
        <f t="shared" si="60"/>
        <v>1</v>
      </c>
      <c r="F354" s="959"/>
      <c r="G354" s="53">
        <f t="shared" si="61"/>
        <v>1</v>
      </c>
      <c r="H354" s="959"/>
      <c r="I354" s="53">
        <f t="shared" si="62"/>
        <v>1</v>
      </c>
      <c r="J354" s="959"/>
      <c r="K354" s="53">
        <f t="shared" si="63"/>
        <v>1</v>
      </c>
      <c r="L354" s="959"/>
      <c r="M354" s="53">
        <f t="shared" si="64"/>
        <v>1</v>
      </c>
      <c r="N354" s="959"/>
      <c r="O354" s="53">
        <f t="shared" si="65"/>
        <v>1</v>
      </c>
      <c r="P354" s="959"/>
      <c r="Q354" s="53">
        <f t="shared" si="66"/>
        <v>1</v>
      </c>
      <c r="R354" s="487">
        <f t="shared" si="67"/>
        <v>0</v>
      </c>
      <c r="S354" s="796">
        <f t="shared" si="58"/>
        <v>0</v>
      </c>
    </row>
    <row r="355" spans="1:19">
      <c r="A355" s="961"/>
      <c r="B355" s="137"/>
      <c r="C355" s="53">
        <f t="shared" si="59"/>
        <v>1</v>
      </c>
      <c r="D355" s="959"/>
      <c r="E355" s="53">
        <f t="shared" si="60"/>
        <v>1</v>
      </c>
      <c r="F355" s="959"/>
      <c r="G355" s="53">
        <f t="shared" si="61"/>
        <v>1</v>
      </c>
      <c r="H355" s="959"/>
      <c r="I355" s="53">
        <f t="shared" si="62"/>
        <v>1</v>
      </c>
      <c r="J355" s="959"/>
      <c r="K355" s="53">
        <f t="shared" si="63"/>
        <v>1</v>
      </c>
      <c r="L355" s="959"/>
      <c r="M355" s="53">
        <f t="shared" si="64"/>
        <v>1</v>
      </c>
      <c r="N355" s="959"/>
      <c r="O355" s="53">
        <f t="shared" si="65"/>
        <v>1</v>
      </c>
      <c r="P355" s="959"/>
      <c r="Q355" s="53">
        <f t="shared" si="66"/>
        <v>1</v>
      </c>
      <c r="R355" s="487">
        <f t="shared" si="67"/>
        <v>0</v>
      </c>
      <c r="S355" s="796">
        <f t="shared" si="58"/>
        <v>0</v>
      </c>
    </row>
    <row r="356" spans="1:19">
      <c r="A356" s="961"/>
      <c r="B356" s="137"/>
      <c r="C356" s="53">
        <f t="shared" si="59"/>
        <v>1</v>
      </c>
      <c r="D356" s="959"/>
      <c r="E356" s="53">
        <f t="shared" si="60"/>
        <v>1</v>
      </c>
      <c r="F356" s="959"/>
      <c r="G356" s="53">
        <f t="shared" si="61"/>
        <v>1</v>
      </c>
      <c r="H356" s="959"/>
      <c r="I356" s="53">
        <f t="shared" si="62"/>
        <v>1</v>
      </c>
      <c r="J356" s="959"/>
      <c r="K356" s="53">
        <f t="shared" si="63"/>
        <v>1</v>
      </c>
      <c r="L356" s="959"/>
      <c r="M356" s="53">
        <f t="shared" si="64"/>
        <v>1</v>
      </c>
      <c r="N356" s="959"/>
      <c r="O356" s="53">
        <f t="shared" si="65"/>
        <v>1</v>
      </c>
      <c r="P356" s="959"/>
      <c r="Q356" s="53">
        <f t="shared" si="66"/>
        <v>1</v>
      </c>
      <c r="R356" s="487">
        <f t="shared" si="67"/>
        <v>0</v>
      </c>
      <c r="S356" s="796">
        <f t="shared" si="58"/>
        <v>0</v>
      </c>
    </row>
    <row r="357" spans="1:19">
      <c r="A357" s="961"/>
      <c r="B357" s="137"/>
      <c r="C357" s="53">
        <f t="shared" si="59"/>
        <v>1</v>
      </c>
      <c r="D357" s="959"/>
      <c r="E357" s="53">
        <f t="shared" si="60"/>
        <v>1</v>
      </c>
      <c r="F357" s="959"/>
      <c r="G357" s="53">
        <f t="shared" si="61"/>
        <v>1</v>
      </c>
      <c r="H357" s="959"/>
      <c r="I357" s="53">
        <f t="shared" si="62"/>
        <v>1</v>
      </c>
      <c r="J357" s="959"/>
      <c r="K357" s="53">
        <f t="shared" si="63"/>
        <v>1</v>
      </c>
      <c r="L357" s="959"/>
      <c r="M357" s="53">
        <f t="shared" si="64"/>
        <v>1</v>
      </c>
      <c r="N357" s="959"/>
      <c r="O357" s="53">
        <f t="shared" si="65"/>
        <v>1</v>
      </c>
      <c r="P357" s="959"/>
      <c r="Q357" s="53">
        <f t="shared" si="66"/>
        <v>1</v>
      </c>
      <c r="R357" s="487">
        <f t="shared" si="67"/>
        <v>0</v>
      </c>
      <c r="S357" s="796">
        <f t="shared" si="58"/>
        <v>0</v>
      </c>
    </row>
    <row r="358" spans="1:19">
      <c r="A358" s="961"/>
      <c r="B358" s="137"/>
      <c r="C358" s="53">
        <f t="shared" si="59"/>
        <v>1</v>
      </c>
      <c r="D358" s="959"/>
      <c r="E358" s="53">
        <f t="shared" si="60"/>
        <v>1</v>
      </c>
      <c r="F358" s="959"/>
      <c r="G358" s="53">
        <f t="shared" si="61"/>
        <v>1</v>
      </c>
      <c r="H358" s="959"/>
      <c r="I358" s="53">
        <f t="shared" si="62"/>
        <v>1</v>
      </c>
      <c r="J358" s="959"/>
      <c r="K358" s="53">
        <f t="shared" si="63"/>
        <v>1</v>
      </c>
      <c r="L358" s="959"/>
      <c r="M358" s="53">
        <f t="shared" si="64"/>
        <v>1</v>
      </c>
      <c r="N358" s="959"/>
      <c r="O358" s="53">
        <f t="shared" si="65"/>
        <v>1</v>
      </c>
      <c r="P358" s="959"/>
      <c r="Q358" s="53">
        <f t="shared" si="66"/>
        <v>1</v>
      </c>
      <c r="R358" s="487">
        <f t="shared" si="67"/>
        <v>0</v>
      </c>
      <c r="S358" s="796">
        <f t="shared" si="58"/>
        <v>0</v>
      </c>
    </row>
    <row r="359" spans="1:19">
      <c r="A359" s="961"/>
      <c r="B359" s="137"/>
      <c r="C359" s="53">
        <f t="shared" si="59"/>
        <v>1</v>
      </c>
      <c r="D359" s="959"/>
      <c r="E359" s="53">
        <f t="shared" si="60"/>
        <v>1</v>
      </c>
      <c r="F359" s="959"/>
      <c r="G359" s="53">
        <f t="shared" si="61"/>
        <v>1</v>
      </c>
      <c r="H359" s="959"/>
      <c r="I359" s="53">
        <f t="shared" si="62"/>
        <v>1</v>
      </c>
      <c r="J359" s="959"/>
      <c r="K359" s="53">
        <f t="shared" si="63"/>
        <v>1</v>
      </c>
      <c r="L359" s="959"/>
      <c r="M359" s="53">
        <f t="shared" si="64"/>
        <v>1</v>
      </c>
      <c r="N359" s="959"/>
      <c r="O359" s="53">
        <f t="shared" si="65"/>
        <v>1</v>
      </c>
      <c r="P359" s="959"/>
      <c r="Q359" s="53">
        <f t="shared" si="66"/>
        <v>1</v>
      </c>
      <c r="R359" s="487">
        <f t="shared" si="67"/>
        <v>0</v>
      </c>
      <c r="S359" s="796">
        <f t="shared" si="58"/>
        <v>0</v>
      </c>
    </row>
    <row r="360" spans="1:19">
      <c r="A360" s="961"/>
      <c r="B360" s="137"/>
      <c r="C360" s="53">
        <f t="shared" si="59"/>
        <v>1</v>
      </c>
      <c r="D360" s="959"/>
      <c r="E360" s="53">
        <f t="shared" si="60"/>
        <v>1</v>
      </c>
      <c r="F360" s="959"/>
      <c r="G360" s="53">
        <f t="shared" si="61"/>
        <v>1</v>
      </c>
      <c r="H360" s="959"/>
      <c r="I360" s="53">
        <f t="shared" si="62"/>
        <v>1</v>
      </c>
      <c r="J360" s="959"/>
      <c r="K360" s="53">
        <f t="shared" si="63"/>
        <v>1</v>
      </c>
      <c r="L360" s="959"/>
      <c r="M360" s="53">
        <f t="shared" si="64"/>
        <v>1</v>
      </c>
      <c r="N360" s="959"/>
      <c r="O360" s="53">
        <f t="shared" si="65"/>
        <v>1</v>
      </c>
      <c r="P360" s="959"/>
      <c r="Q360" s="53">
        <f t="shared" si="66"/>
        <v>1</v>
      </c>
      <c r="R360" s="487">
        <f t="shared" si="67"/>
        <v>0</v>
      </c>
      <c r="S360" s="796">
        <f t="shared" si="58"/>
        <v>0</v>
      </c>
    </row>
    <row r="361" spans="1:19">
      <c r="A361" s="961"/>
      <c r="B361" s="137"/>
      <c r="C361" s="53">
        <f t="shared" si="59"/>
        <v>1</v>
      </c>
      <c r="D361" s="959"/>
      <c r="E361" s="53">
        <f t="shared" si="60"/>
        <v>1</v>
      </c>
      <c r="F361" s="959"/>
      <c r="G361" s="53">
        <f t="shared" si="61"/>
        <v>1</v>
      </c>
      <c r="H361" s="959"/>
      <c r="I361" s="53">
        <f t="shared" si="62"/>
        <v>1</v>
      </c>
      <c r="J361" s="959"/>
      <c r="K361" s="53">
        <f t="shared" si="63"/>
        <v>1</v>
      </c>
      <c r="L361" s="959"/>
      <c r="M361" s="53">
        <f t="shared" si="64"/>
        <v>1</v>
      </c>
      <c r="N361" s="959"/>
      <c r="O361" s="53">
        <f t="shared" si="65"/>
        <v>1</v>
      </c>
      <c r="P361" s="959"/>
      <c r="Q361" s="53">
        <f t="shared" si="66"/>
        <v>1</v>
      </c>
      <c r="R361" s="487">
        <f t="shared" si="67"/>
        <v>0</v>
      </c>
      <c r="S361" s="796">
        <f t="shared" si="58"/>
        <v>0</v>
      </c>
    </row>
    <row r="362" spans="1:19">
      <c r="A362" s="961"/>
      <c r="B362" s="137"/>
      <c r="C362" s="53">
        <f t="shared" si="59"/>
        <v>1</v>
      </c>
      <c r="D362" s="959"/>
      <c r="E362" s="53">
        <f t="shared" si="60"/>
        <v>1</v>
      </c>
      <c r="F362" s="959"/>
      <c r="G362" s="53">
        <f t="shared" si="61"/>
        <v>1</v>
      </c>
      <c r="H362" s="959"/>
      <c r="I362" s="53">
        <f t="shared" si="62"/>
        <v>1</v>
      </c>
      <c r="J362" s="959"/>
      <c r="K362" s="53">
        <f t="shared" si="63"/>
        <v>1</v>
      </c>
      <c r="L362" s="959"/>
      <c r="M362" s="53">
        <f t="shared" si="64"/>
        <v>1</v>
      </c>
      <c r="N362" s="959"/>
      <c r="O362" s="53">
        <f t="shared" si="65"/>
        <v>1</v>
      </c>
      <c r="P362" s="959"/>
      <c r="Q362" s="53">
        <f t="shared" si="66"/>
        <v>1</v>
      </c>
      <c r="R362" s="487">
        <f t="shared" si="67"/>
        <v>0</v>
      </c>
      <c r="S362" s="796">
        <f t="shared" si="58"/>
        <v>0</v>
      </c>
    </row>
    <row r="363" spans="1:19">
      <c r="A363" s="961"/>
      <c r="B363" s="137"/>
      <c r="C363" s="53">
        <f t="shared" si="59"/>
        <v>1</v>
      </c>
      <c r="D363" s="959"/>
      <c r="E363" s="53">
        <f t="shared" si="60"/>
        <v>1</v>
      </c>
      <c r="F363" s="959"/>
      <c r="G363" s="53">
        <f t="shared" si="61"/>
        <v>1</v>
      </c>
      <c r="H363" s="959"/>
      <c r="I363" s="53">
        <f t="shared" si="62"/>
        <v>1</v>
      </c>
      <c r="J363" s="959"/>
      <c r="K363" s="53">
        <f t="shared" si="63"/>
        <v>1</v>
      </c>
      <c r="L363" s="959"/>
      <c r="M363" s="53">
        <f t="shared" si="64"/>
        <v>1</v>
      </c>
      <c r="N363" s="959"/>
      <c r="O363" s="53">
        <f t="shared" si="65"/>
        <v>1</v>
      </c>
      <c r="P363" s="959"/>
      <c r="Q363" s="53">
        <f t="shared" si="66"/>
        <v>1</v>
      </c>
      <c r="R363" s="487">
        <f t="shared" si="67"/>
        <v>0</v>
      </c>
      <c r="S363" s="796">
        <f t="shared" si="58"/>
        <v>0</v>
      </c>
    </row>
    <row r="364" spans="1:19">
      <c r="A364" s="961"/>
      <c r="B364" s="137"/>
      <c r="C364" s="53">
        <f t="shared" si="59"/>
        <v>1</v>
      </c>
      <c r="D364" s="959"/>
      <c r="E364" s="53">
        <f t="shared" si="60"/>
        <v>1</v>
      </c>
      <c r="F364" s="959"/>
      <c r="G364" s="53">
        <f t="shared" si="61"/>
        <v>1</v>
      </c>
      <c r="H364" s="959"/>
      <c r="I364" s="53">
        <f t="shared" si="62"/>
        <v>1</v>
      </c>
      <c r="J364" s="959"/>
      <c r="K364" s="53">
        <f t="shared" si="63"/>
        <v>1</v>
      </c>
      <c r="L364" s="959"/>
      <c r="M364" s="53">
        <f t="shared" si="64"/>
        <v>1</v>
      </c>
      <c r="N364" s="959"/>
      <c r="O364" s="53">
        <f t="shared" si="65"/>
        <v>1</v>
      </c>
      <c r="P364" s="959"/>
      <c r="Q364" s="53">
        <f t="shared" si="66"/>
        <v>1</v>
      </c>
      <c r="R364" s="487">
        <f t="shared" si="67"/>
        <v>0</v>
      </c>
      <c r="S364" s="796">
        <f t="shared" si="58"/>
        <v>0</v>
      </c>
    </row>
    <row r="365" spans="1:19">
      <c r="A365" s="961"/>
      <c r="B365" s="137"/>
      <c r="C365" s="53">
        <f t="shared" si="59"/>
        <v>1</v>
      </c>
      <c r="D365" s="959"/>
      <c r="E365" s="53">
        <f t="shared" si="60"/>
        <v>1</v>
      </c>
      <c r="F365" s="959"/>
      <c r="G365" s="53">
        <f t="shared" si="61"/>
        <v>1</v>
      </c>
      <c r="H365" s="959"/>
      <c r="I365" s="53">
        <f t="shared" si="62"/>
        <v>1</v>
      </c>
      <c r="J365" s="959"/>
      <c r="K365" s="53">
        <f t="shared" si="63"/>
        <v>1</v>
      </c>
      <c r="L365" s="959"/>
      <c r="M365" s="53">
        <f t="shared" si="64"/>
        <v>1</v>
      </c>
      <c r="N365" s="959"/>
      <c r="O365" s="53">
        <f t="shared" si="65"/>
        <v>1</v>
      </c>
      <c r="P365" s="959"/>
      <c r="Q365" s="53">
        <f t="shared" si="66"/>
        <v>1</v>
      </c>
      <c r="R365" s="487">
        <f t="shared" si="67"/>
        <v>0</v>
      </c>
      <c r="S365" s="796">
        <f t="shared" si="58"/>
        <v>0</v>
      </c>
    </row>
    <row r="366" spans="1:19">
      <c r="A366" s="961"/>
      <c r="B366" s="137"/>
      <c r="C366" s="53">
        <f t="shared" si="59"/>
        <v>1</v>
      </c>
      <c r="D366" s="959"/>
      <c r="E366" s="53">
        <f t="shared" si="60"/>
        <v>1</v>
      </c>
      <c r="F366" s="959"/>
      <c r="G366" s="53">
        <f t="shared" si="61"/>
        <v>1</v>
      </c>
      <c r="H366" s="959"/>
      <c r="I366" s="53">
        <f t="shared" si="62"/>
        <v>1</v>
      </c>
      <c r="J366" s="959"/>
      <c r="K366" s="53">
        <f t="shared" si="63"/>
        <v>1</v>
      </c>
      <c r="L366" s="959"/>
      <c r="M366" s="53">
        <f t="shared" si="64"/>
        <v>1</v>
      </c>
      <c r="N366" s="959"/>
      <c r="O366" s="53">
        <f t="shared" si="65"/>
        <v>1</v>
      </c>
      <c r="P366" s="959"/>
      <c r="Q366" s="53">
        <f t="shared" si="66"/>
        <v>1</v>
      </c>
      <c r="R366" s="487">
        <f t="shared" si="67"/>
        <v>0</v>
      </c>
      <c r="S366" s="796">
        <f t="shared" si="58"/>
        <v>0</v>
      </c>
    </row>
    <row r="367" spans="1:19">
      <c r="A367" s="961"/>
      <c r="B367" s="137"/>
      <c r="C367" s="53">
        <f t="shared" si="59"/>
        <v>1</v>
      </c>
      <c r="D367" s="959"/>
      <c r="E367" s="53">
        <f t="shared" si="60"/>
        <v>1</v>
      </c>
      <c r="F367" s="959"/>
      <c r="G367" s="53">
        <f t="shared" si="61"/>
        <v>1</v>
      </c>
      <c r="H367" s="959"/>
      <c r="I367" s="53">
        <f t="shared" si="62"/>
        <v>1</v>
      </c>
      <c r="J367" s="959"/>
      <c r="K367" s="53">
        <f t="shared" si="63"/>
        <v>1</v>
      </c>
      <c r="L367" s="959"/>
      <c r="M367" s="53">
        <f t="shared" si="64"/>
        <v>1</v>
      </c>
      <c r="N367" s="959"/>
      <c r="O367" s="53">
        <f t="shared" si="65"/>
        <v>1</v>
      </c>
      <c r="P367" s="959"/>
      <c r="Q367" s="53">
        <f t="shared" si="66"/>
        <v>1</v>
      </c>
      <c r="R367" s="487">
        <f t="shared" si="67"/>
        <v>0</v>
      </c>
      <c r="S367" s="796">
        <f t="shared" si="58"/>
        <v>0</v>
      </c>
    </row>
    <row r="368" spans="1:19">
      <c r="A368" s="961"/>
      <c r="B368" s="137"/>
      <c r="C368" s="53">
        <f t="shared" si="59"/>
        <v>1</v>
      </c>
      <c r="D368" s="959"/>
      <c r="E368" s="53">
        <f t="shared" si="60"/>
        <v>1</v>
      </c>
      <c r="F368" s="959"/>
      <c r="G368" s="53">
        <f t="shared" si="61"/>
        <v>1</v>
      </c>
      <c r="H368" s="959"/>
      <c r="I368" s="53">
        <f t="shared" si="62"/>
        <v>1</v>
      </c>
      <c r="J368" s="959"/>
      <c r="K368" s="53">
        <f t="shared" si="63"/>
        <v>1</v>
      </c>
      <c r="L368" s="959"/>
      <c r="M368" s="53">
        <f t="shared" si="64"/>
        <v>1</v>
      </c>
      <c r="N368" s="959"/>
      <c r="O368" s="53">
        <f t="shared" si="65"/>
        <v>1</v>
      </c>
      <c r="P368" s="959"/>
      <c r="Q368" s="53">
        <f t="shared" si="66"/>
        <v>1</v>
      </c>
      <c r="R368" s="487">
        <f t="shared" si="67"/>
        <v>0</v>
      </c>
      <c r="S368" s="796">
        <f t="shared" si="58"/>
        <v>0</v>
      </c>
    </row>
    <row r="369" spans="1:19">
      <c r="A369" s="961"/>
      <c r="B369" s="137"/>
      <c r="C369" s="53">
        <f t="shared" si="59"/>
        <v>1</v>
      </c>
      <c r="D369" s="959"/>
      <c r="E369" s="53">
        <f t="shared" si="60"/>
        <v>1</v>
      </c>
      <c r="F369" s="959"/>
      <c r="G369" s="53">
        <f t="shared" si="61"/>
        <v>1</v>
      </c>
      <c r="H369" s="959"/>
      <c r="I369" s="53">
        <f t="shared" si="62"/>
        <v>1</v>
      </c>
      <c r="J369" s="959"/>
      <c r="K369" s="53">
        <f t="shared" si="63"/>
        <v>1</v>
      </c>
      <c r="L369" s="959"/>
      <c r="M369" s="53">
        <f t="shared" si="64"/>
        <v>1</v>
      </c>
      <c r="N369" s="959"/>
      <c r="O369" s="53">
        <f t="shared" si="65"/>
        <v>1</v>
      </c>
      <c r="P369" s="959"/>
      <c r="Q369" s="53">
        <f t="shared" si="66"/>
        <v>1</v>
      </c>
      <c r="R369" s="487">
        <f t="shared" si="67"/>
        <v>0</v>
      </c>
      <c r="S369" s="796">
        <f t="shared" si="58"/>
        <v>0</v>
      </c>
    </row>
    <row r="370" spans="1:19">
      <c r="A370" s="961"/>
      <c r="B370" s="137"/>
      <c r="C370" s="53">
        <f t="shared" si="59"/>
        <v>1</v>
      </c>
      <c r="D370" s="959"/>
      <c r="E370" s="53">
        <f t="shared" si="60"/>
        <v>1</v>
      </c>
      <c r="F370" s="959"/>
      <c r="G370" s="53">
        <f t="shared" si="61"/>
        <v>1</v>
      </c>
      <c r="H370" s="959"/>
      <c r="I370" s="53">
        <f t="shared" si="62"/>
        <v>1</v>
      </c>
      <c r="J370" s="959"/>
      <c r="K370" s="53">
        <f t="shared" si="63"/>
        <v>1</v>
      </c>
      <c r="L370" s="959"/>
      <c r="M370" s="53">
        <f t="shared" si="64"/>
        <v>1</v>
      </c>
      <c r="N370" s="959"/>
      <c r="O370" s="53">
        <f t="shared" si="65"/>
        <v>1</v>
      </c>
      <c r="P370" s="959"/>
      <c r="Q370" s="53">
        <f t="shared" si="66"/>
        <v>1</v>
      </c>
      <c r="R370" s="487">
        <f t="shared" si="67"/>
        <v>0</v>
      </c>
      <c r="S370" s="796">
        <f t="shared" si="58"/>
        <v>0</v>
      </c>
    </row>
    <row r="371" spans="1:19">
      <c r="A371" s="961"/>
      <c r="B371" s="137"/>
      <c r="C371" s="53">
        <f t="shared" si="59"/>
        <v>1</v>
      </c>
      <c r="D371" s="959"/>
      <c r="E371" s="53">
        <f t="shared" si="60"/>
        <v>1</v>
      </c>
      <c r="F371" s="959"/>
      <c r="G371" s="53">
        <f t="shared" si="61"/>
        <v>1</v>
      </c>
      <c r="H371" s="959"/>
      <c r="I371" s="53">
        <f t="shared" si="62"/>
        <v>1</v>
      </c>
      <c r="J371" s="959"/>
      <c r="K371" s="53">
        <f t="shared" si="63"/>
        <v>1</v>
      </c>
      <c r="L371" s="959"/>
      <c r="M371" s="53">
        <f t="shared" si="64"/>
        <v>1</v>
      </c>
      <c r="N371" s="959"/>
      <c r="O371" s="53">
        <f t="shared" si="65"/>
        <v>1</v>
      </c>
      <c r="P371" s="959"/>
      <c r="Q371" s="53">
        <f t="shared" si="66"/>
        <v>1</v>
      </c>
      <c r="R371" s="487">
        <f t="shared" si="67"/>
        <v>0</v>
      </c>
      <c r="S371" s="796">
        <f t="shared" si="58"/>
        <v>0</v>
      </c>
    </row>
    <row r="372" spans="1:19">
      <c r="A372" s="961"/>
      <c r="B372" s="137"/>
      <c r="C372" s="53">
        <f t="shared" si="59"/>
        <v>1</v>
      </c>
      <c r="D372" s="959"/>
      <c r="E372" s="53">
        <f t="shared" si="60"/>
        <v>1</v>
      </c>
      <c r="F372" s="959"/>
      <c r="G372" s="53">
        <f t="shared" si="61"/>
        <v>1</v>
      </c>
      <c r="H372" s="959"/>
      <c r="I372" s="53">
        <f t="shared" si="62"/>
        <v>1</v>
      </c>
      <c r="J372" s="959"/>
      <c r="K372" s="53">
        <f t="shared" si="63"/>
        <v>1</v>
      </c>
      <c r="L372" s="959"/>
      <c r="M372" s="53">
        <f t="shared" si="64"/>
        <v>1</v>
      </c>
      <c r="N372" s="959"/>
      <c r="O372" s="53">
        <f t="shared" si="65"/>
        <v>1</v>
      </c>
      <c r="P372" s="959"/>
      <c r="Q372" s="53">
        <f t="shared" si="66"/>
        <v>1</v>
      </c>
      <c r="R372" s="487">
        <f t="shared" si="67"/>
        <v>0</v>
      </c>
      <c r="S372" s="796">
        <f t="shared" si="58"/>
        <v>0</v>
      </c>
    </row>
    <row r="373" spans="1:19">
      <c r="A373" s="961"/>
      <c r="B373" s="137"/>
      <c r="C373" s="53">
        <f t="shared" si="59"/>
        <v>1</v>
      </c>
      <c r="D373" s="959"/>
      <c r="E373" s="53">
        <f t="shared" si="60"/>
        <v>1</v>
      </c>
      <c r="F373" s="959"/>
      <c r="G373" s="53">
        <f t="shared" si="61"/>
        <v>1</v>
      </c>
      <c r="H373" s="959"/>
      <c r="I373" s="53">
        <f t="shared" si="62"/>
        <v>1</v>
      </c>
      <c r="J373" s="959"/>
      <c r="K373" s="53">
        <f t="shared" si="63"/>
        <v>1</v>
      </c>
      <c r="L373" s="959"/>
      <c r="M373" s="53">
        <f t="shared" si="64"/>
        <v>1</v>
      </c>
      <c r="N373" s="959"/>
      <c r="O373" s="53">
        <f t="shared" si="65"/>
        <v>1</v>
      </c>
      <c r="P373" s="959"/>
      <c r="Q373" s="53">
        <f t="shared" si="66"/>
        <v>1</v>
      </c>
      <c r="R373" s="487">
        <f t="shared" si="67"/>
        <v>0</v>
      </c>
      <c r="S373" s="796">
        <f t="shared" si="58"/>
        <v>0</v>
      </c>
    </row>
    <row r="374" spans="1:19">
      <c r="A374" s="961"/>
      <c r="B374" s="137"/>
      <c r="C374" s="53">
        <f t="shared" si="59"/>
        <v>1</v>
      </c>
      <c r="D374" s="959"/>
      <c r="E374" s="53">
        <f t="shared" si="60"/>
        <v>1</v>
      </c>
      <c r="F374" s="959"/>
      <c r="G374" s="53">
        <f t="shared" si="61"/>
        <v>1</v>
      </c>
      <c r="H374" s="959"/>
      <c r="I374" s="53">
        <f t="shared" si="62"/>
        <v>1</v>
      </c>
      <c r="J374" s="959"/>
      <c r="K374" s="53">
        <f t="shared" si="63"/>
        <v>1</v>
      </c>
      <c r="L374" s="959"/>
      <c r="M374" s="53">
        <f t="shared" si="64"/>
        <v>1</v>
      </c>
      <c r="N374" s="959"/>
      <c r="O374" s="53">
        <f t="shared" si="65"/>
        <v>1</v>
      </c>
      <c r="P374" s="959"/>
      <c r="Q374" s="53">
        <f t="shared" si="66"/>
        <v>1</v>
      </c>
      <c r="R374" s="487">
        <f t="shared" si="67"/>
        <v>0</v>
      </c>
      <c r="S374" s="796">
        <f t="shared" si="58"/>
        <v>0</v>
      </c>
    </row>
    <row r="375" spans="1:19">
      <c r="A375" s="961"/>
      <c r="B375" s="137"/>
      <c r="C375" s="53">
        <f t="shared" si="59"/>
        <v>1</v>
      </c>
      <c r="D375" s="959"/>
      <c r="E375" s="53">
        <f t="shared" si="60"/>
        <v>1</v>
      </c>
      <c r="F375" s="959"/>
      <c r="G375" s="53">
        <f t="shared" si="61"/>
        <v>1</v>
      </c>
      <c r="H375" s="959"/>
      <c r="I375" s="53">
        <f t="shared" si="62"/>
        <v>1</v>
      </c>
      <c r="J375" s="959"/>
      <c r="K375" s="53">
        <f t="shared" si="63"/>
        <v>1</v>
      </c>
      <c r="L375" s="959"/>
      <c r="M375" s="53">
        <f t="shared" si="64"/>
        <v>1</v>
      </c>
      <c r="N375" s="959"/>
      <c r="O375" s="53">
        <f t="shared" si="65"/>
        <v>1</v>
      </c>
      <c r="P375" s="959"/>
      <c r="Q375" s="53">
        <f t="shared" si="66"/>
        <v>1</v>
      </c>
      <c r="R375" s="487">
        <f t="shared" si="67"/>
        <v>0</v>
      </c>
      <c r="S375" s="796">
        <f t="shared" si="58"/>
        <v>0</v>
      </c>
    </row>
    <row r="376" spans="1:19">
      <c r="A376" s="961"/>
      <c r="B376" s="137"/>
      <c r="C376" s="53">
        <f t="shared" si="59"/>
        <v>1</v>
      </c>
      <c r="D376" s="959"/>
      <c r="E376" s="53">
        <f t="shared" si="60"/>
        <v>1</v>
      </c>
      <c r="F376" s="959"/>
      <c r="G376" s="53">
        <f t="shared" si="61"/>
        <v>1</v>
      </c>
      <c r="H376" s="959"/>
      <c r="I376" s="53">
        <f t="shared" si="62"/>
        <v>1</v>
      </c>
      <c r="J376" s="959"/>
      <c r="K376" s="53">
        <f t="shared" si="63"/>
        <v>1</v>
      </c>
      <c r="L376" s="959"/>
      <c r="M376" s="53">
        <f t="shared" si="64"/>
        <v>1</v>
      </c>
      <c r="N376" s="959"/>
      <c r="O376" s="53">
        <f t="shared" si="65"/>
        <v>1</v>
      </c>
      <c r="P376" s="959"/>
      <c r="Q376" s="53">
        <f t="shared" si="66"/>
        <v>1</v>
      </c>
      <c r="R376" s="487">
        <f t="shared" si="67"/>
        <v>0</v>
      </c>
      <c r="S376" s="796">
        <f t="shared" si="58"/>
        <v>0</v>
      </c>
    </row>
    <row r="377" spans="1:19">
      <c r="A377" s="961"/>
      <c r="B377" s="137"/>
      <c r="C377" s="53">
        <f t="shared" si="59"/>
        <v>1</v>
      </c>
      <c r="D377" s="959"/>
      <c r="E377" s="53">
        <f t="shared" si="60"/>
        <v>1</v>
      </c>
      <c r="F377" s="959"/>
      <c r="G377" s="53">
        <f t="shared" si="61"/>
        <v>1</v>
      </c>
      <c r="H377" s="959"/>
      <c r="I377" s="53">
        <f t="shared" si="62"/>
        <v>1</v>
      </c>
      <c r="J377" s="959"/>
      <c r="K377" s="53">
        <f t="shared" si="63"/>
        <v>1</v>
      </c>
      <c r="L377" s="959"/>
      <c r="M377" s="53">
        <f t="shared" si="64"/>
        <v>1</v>
      </c>
      <c r="N377" s="959"/>
      <c r="O377" s="53">
        <f t="shared" si="65"/>
        <v>1</v>
      </c>
      <c r="P377" s="959"/>
      <c r="Q377" s="53">
        <f t="shared" si="66"/>
        <v>1</v>
      </c>
      <c r="R377" s="487">
        <f t="shared" si="67"/>
        <v>0</v>
      </c>
      <c r="S377" s="796">
        <f t="shared" si="58"/>
        <v>0</v>
      </c>
    </row>
    <row r="378" spans="1:19">
      <c r="A378" s="961"/>
      <c r="B378" s="137"/>
      <c r="C378" s="53">
        <f t="shared" si="59"/>
        <v>1</v>
      </c>
      <c r="D378" s="959"/>
      <c r="E378" s="53">
        <f t="shared" si="60"/>
        <v>1</v>
      </c>
      <c r="F378" s="959"/>
      <c r="G378" s="53">
        <f t="shared" si="61"/>
        <v>1</v>
      </c>
      <c r="H378" s="959"/>
      <c r="I378" s="53">
        <f t="shared" si="62"/>
        <v>1</v>
      </c>
      <c r="J378" s="959"/>
      <c r="K378" s="53">
        <f t="shared" si="63"/>
        <v>1</v>
      </c>
      <c r="L378" s="959"/>
      <c r="M378" s="53">
        <f t="shared" si="64"/>
        <v>1</v>
      </c>
      <c r="N378" s="959"/>
      <c r="O378" s="53">
        <f t="shared" si="65"/>
        <v>1</v>
      </c>
      <c r="P378" s="959"/>
      <c r="Q378" s="53">
        <f t="shared" si="66"/>
        <v>1</v>
      </c>
      <c r="R378" s="487">
        <f t="shared" si="67"/>
        <v>0</v>
      </c>
      <c r="S378" s="796">
        <f t="shared" si="58"/>
        <v>0</v>
      </c>
    </row>
    <row r="379" spans="1:19">
      <c r="A379" s="961"/>
      <c r="B379" s="137"/>
      <c r="C379" s="53">
        <f t="shared" si="59"/>
        <v>1</v>
      </c>
      <c r="D379" s="959"/>
      <c r="E379" s="53">
        <f t="shared" si="60"/>
        <v>1</v>
      </c>
      <c r="F379" s="959"/>
      <c r="G379" s="53">
        <f t="shared" si="61"/>
        <v>1</v>
      </c>
      <c r="H379" s="959"/>
      <c r="I379" s="53">
        <f t="shared" si="62"/>
        <v>1</v>
      </c>
      <c r="J379" s="959"/>
      <c r="K379" s="53">
        <f t="shared" si="63"/>
        <v>1</v>
      </c>
      <c r="L379" s="959"/>
      <c r="M379" s="53">
        <f t="shared" si="64"/>
        <v>1</v>
      </c>
      <c r="N379" s="959"/>
      <c r="O379" s="53">
        <f t="shared" si="65"/>
        <v>1</v>
      </c>
      <c r="P379" s="959"/>
      <c r="Q379" s="53">
        <f t="shared" si="66"/>
        <v>1</v>
      </c>
      <c r="R379" s="487">
        <f t="shared" si="67"/>
        <v>0</v>
      </c>
      <c r="S379" s="796">
        <f t="shared" si="58"/>
        <v>0</v>
      </c>
    </row>
    <row r="380" spans="1:19">
      <c r="A380" s="961"/>
      <c r="B380" s="137"/>
      <c r="C380" s="53">
        <f t="shared" si="59"/>
        <v>1</v>
      </c>
      <c r="D380" s="959"/>
      <c r="E380" s="53">
        <f t="shared" si="60"/>
        <v>1</v>
      </c>
      <c r="F380" s="959"/>
      <c r="G380" s="53">
        <f t="shared" si="61"/>
        <v>1</v>
      </c>
      <c r="H380" s="959"/>
      <c r="I380" s="53">
        <f t="shared" si="62"/>
        <v>1</v>
      </c>
      <c r="J380" s="959"/>
      <c r="K380" s="53">
        <f t="shared" si="63"/>
        <v>1</v>
      </c>
      <c r="L380" s="959"/>
      <c r="M380" s="53">
        <f t="shared" si="64"/>
        <v>1</v>
      </c>
      <c r="N380" s="959"/>
      <c r="O380" s="53">
        <f t="shared" si="65"/>
        <v>1</v>
      </c>
      <c r="P380" s="959"/>
      <c r="Q380" s="53">
        <f t="shared" si="66"/>
        <v>1</v>
      </c>
      <c r="R380" s="487">
        <f t="shared" si="67"/>
        <v>0</v>
      </c>
      <c r="S380" s="796">
        <f t="shared" si="58"/>
        <v>0</v>
      </c>
    </row>
    <row r="381" spans="1:19">
      <c r="A381" s="961"/>
      <c r="B381" s="137"/>
      <c r="C381" s="53">
        <f t="shared" si="59"/>
        <v>1</v>
      </c>
      <c r="D381" s="959"/>
      <c r="E381" s="53">
        <f t="shared" si="60"/>
        <v>1</v>
      </c>
      <c r="F381" s="959"/>
      <c r="G381" s="53">
        <f t="shared" si="61"/>
        <v>1</v>
      </c>
      <c r="H381" s="959"/>
      <c r="I381" s="53">
        <f t="shared" si="62"/>
        <v>1</v>
      </c>
      <c r="J381" s="959"/>
      <c r="K381" s="53">
        <f t="shared" si="63"/>
        <v>1</v>
      </c>
      <c r="L381" s="959"/>
      <c r="M381" s="53">
        <f t="shared" si="64"/>
        <v>1</v>
      </c>
      <c r="N381" s="959"/>
      <c r="O381" s="53">
        <f t="shared" si="65"/>
        <v>1</v>
      </c>
      <c r="P381" s="959"/>
      <c r="Q381" s="53">
        <f t="shared" si="66"/>
        <v>1</v>
      </c>
      <c r="R381" s="487">
        <f t="shared" si="67"/>
        <v>0</v>
      </c>
      <c r="S381" s="796">
        <f t="shared" si="58"/>
        <v>0</v>
      </c>
    </row>
    <row r="382" spans="1:19">
      <c r="A382" s="961"/>
      <c r="B382" s="137"/>
      <c r="C382" s="53">
        <f t="shared" si="59"/>
        <v>1</v>
      </c>
      <c r="D382" s="959"/>
      <c r="E382" s="53">
        <f t="shared" si="60"/>
        <v>1</v>
      </c>
      <c r="F382" s="959"/>
      <c r="G382" s="53">
        <f t="shared" si="61"/>
        <v>1</v>
      </c>
      <c r="H382" s="959"/>
      <c r="I382" s="53">
        <f t="shared" si="62"/>
        <v>1</v>
      </c>
      <c r="J382" s="959"/>
      <c r="K382" s="53">
        <f t="shared" si="63"/>
        <v>1</v>
      </c>
      <c r="L382" s="959"/>
      <c r="M382" s="53">
        <f t="shared" si="64"/>
        <v>1</v>
      </c>
      <c r="N382" s="959"/>
      <c r="O382" s="53">
        <f t="shared" si="65"/>
        <v>1</v>
      </c>
      <c r="P382" s="959"/>
      <c r="Q382" s="53">
        <f t="shared" si="66"/>
        <v>1</v>
      </c>
      <c r="R382" s="487">
        <f t="shared" si="67"/>
        <v>0</v>
      </c>
      <c r="S382" s="796">
        <f t="shared" si="58"/>
        <v>0</v>
      </c>
    </row>
    <row r="383" spans="1:19">
      <c r="A383" s="961"/>
      <c r="B383" s="137"/>
      <c r="C383" s="53">
        <f t="shared" si="59"/>
        <v>1</v>
      </c>
      <c r="D383" s="959"/>
      <c r="E383" s="53">
        <f t="shared" si="60"/>
        <v>1</v>
      </c>
      <c r="F383" s="959"/>
      <c r="G383" s="53">
        <f t="shared" si="61"/>
        <v>1</v>
      </c>
      <c r="H383" s="959"/>
      <c r="I383" s="53">
        <f t="shared" si="62"/>
        <v>1</v>
      </c>
      <c r="J383" s="959"/>
      <c r="K383" s="53">
        <f t="shared" si="63"/>
        <v>1</v>
      </c>
      <c r="L383" s="959"/>
      <c r="M383" s="53">
        <f t="shared" si="64"/>
        <v>1</v>
      </c>
      <c r="N383" s="959"/>
      <c r="O383" s="53">
        <f t="shared" si="65"/>
        <v>1</v>
      </c>
      <c r="P383" s="959"/>
      <c r="Q383" s="53">
        <f t="shared" si="66"/>
        <v>1</v>
      </c>
      <c r="R383" s="487">
        <f t="shared" si="67"/>
        <v>0</v>
      </c>
      <c r="S383" s="796">
        <f t="shared" si="58"/>
        <v>0</v>
      </c>
    </row>
    <row r="384" spans="1:19">
      <c r="A384" s="961"/>
      <c r="B384" s="137"/>
      <c r="C384" s="53">
        <f t="shared" si="59"/>
        <v>1</v>
      </c>
      <c r="D384" s="959"/>
      <c r="E384" s="53">
        <f t="shared" si="60"/>
        <v>1</v>
      </c>
      <c r="F384" s="959"/>
      <c r="G384" s="53">
        <f t="shared" si="61"/>
        <v>1</v>
      </c>
      <c r="H384" s="959"/>
      <c r="I384" s="53">
        <f t="shared" si="62"/>
        <v>1</v>
      </c>
      <c r="J384" s="959"/>
      <c r="K384" s="53">
        <f t="shared" si="63"/>
        <v>1</v>
      </c>
      <c r="L384" s="959"/>
      <c r="M384" s="53">
        <f t="shared" si="64"/>
        <v>1</v>
      </c>
      <c r="N384" s="959"/>
      <c r="O384" s="53">
        <f t="shared" si="65"/>
        <v>1</v>
      </c>
      <c r="P384" s="959"/>
      <c r="Q384" s="53">
        <f t="shared" si="66"/>
        <v>1</v>
      </c>
      <c r="R384" s="487">
        <f t="shared" si="67"/>
        <v>0</v>
      </c>
      <c r="S384" s="796">
        <f t="shared" si="58"/>
        <v>0</v>
      </c>
    </row>
    <row r="385" spans="1:19">
      <c r="A385" s="961"/>
      <c r="B385" s="137"/>
      <c r="C385" s="53">
        <f t="shared" si="59"/>
        <v>1</v>
      </c>
      <c r="D385" s="959"/>
      <c r="E385" s="53">
        <f t="shared" si="60"/>
        <v>1</v>
      </c>
      <c r="F385" s="959"/>
      <c r="G385" s="53">
        <f t="shared" si="61"/>
        <v>1</v>
      </c>
      <c r="H385" s="959"/>
      <c r="I385" s="53">
        <f t="shared" si="62"/>
        <v>1</v>
      </c>
      <c r="J385" s="959"/>
      <c r="K385" s="53">
        <f t="shared" si="63"/>
        <v>1</v>
      </c>
      <c r="L385" s="959"/>
      <c r="M385" s="53">
        <f t="shared" si="64"/>
        <v>1</v>
      </c>
      <c r="N385" s="959"/>
      <c r="O385" s="53">
        <f t="shared" si="65"/>
        <v>1</v>
      </c>
      <c r="P385" s="959"/>
      <c r="Q385" s="53">
        <f t="shared" si="66"/>
        <v>1</v>
      </c>
      <c r="R385" s="487">
        <f t="shared" si="67"/>
        <v>0</v>
      </c>
      <c r="S385" s="796">
        <f t="shared" ref="S385:S422" si="68">ROUND(R385*B385/10000,0)</f>
        <v>0</v>
      </c>
    </row>
    <row r="386" spans="1:19">
      <c r="A386" s="961"/>
      <c r="B386" s="137"/>
      <c r="C386" s="53">
        <f t="shared" si="59"/>
        <v>1</v>
      </c>
      <c r="D386" s="959"/>
      <c r="E386" s="53">
        <f t="shared" si="60"/>
        <v>1</v>
      </c>
      <c r="F386" s="959"/>
      <c r="G386" s="53">
        <f t="shared" si="61"/>
        <v>1</v>
      </c>
      <c r="H386" s="959"/>
      <c r="I386" s="53">
        <f t="shared" si="62"/>
        <v>1</v>
      </c>
      <c r="J386" s="959"/>
      <c r="K386" s="53">
        <f t="shared" si="63"/>
        <v>1</v>
      </c>
      <c r="L386" s="959"/>
      <c r="M386" s="53">
        <f t="shared" si="64"/>
        <v>1</v>
      </c>
      <c r="N386" s="959"/>
      <c r="O386" s="53">
        <f t="shared" si="65"/>
        <v>1</v>
      </c>
      <c r="P386" s="959"/>
      <c r="Q386" s="53">
        <f t="shared" si="66"/>
        <v>1</v>
      </c>
      <c r="R386" s="487">
        <f t="shared" si="67"/>
        <v>0</v>
      </c>
      <c r="S386" s="796">
        <f t="shared" si="68"/>
        <v>0</v>
      </c>
    </row>
    <row r="387" spans="1:19">
      <c r="A387" s="961"/>
      <c r="B387" s="137"/>
      <c r="C387" s="53">
        <f t="shared" si="59"/>
        <v>1</v>
      </c>
      <c r="D387" s="959"/>
      <c r="E387" s="53">
        <f t="shared" si="60"/>
        <v>1</v>
      </c>
      <c r="F387" s="959"/>
      <c r="G387" s="53">
        <f t="shared" si="61"/>
        <v>1</v>
      </c>
      <c r="H387" s="959"/>
      <c r="I387" s="53">
        <f t="shared" si="62"/>
        <v>1</v>
      </c>
      <c r="J387" s="959"/>
      <c r="K387" s="53">
        <f t="shared" si="63"/>
        <v>1</v>
      </c>
      <c r="L387" s="959"/>
      <c r="M387" s="53">
        <f t="shared" si="64"/>
        <v>1</v>
      </c>
      <c r="N387" s="959"/>
      <c r="O387" s="53">
        <f t="shared" si="65"/>
        <v>1</v>
      </c>
      <c r="P387" s="959"/>
      <c r="Q387" s="53">
        <f t="shared" si="66"/>
        <v>1</v>
      </c>
      <c r="R387" s="487">
        <f t="shared" si="67"/>
        <v>0</v>
      </c>
      <c r="S387" s="796">
        <f t="shared" si="68"/>
        <v>0</v>
      </c>
    </row>
    <row r="388" spans="1:19">
      <c r="A388" s="961"/>
      <c r="B388" s="137"/>
      <c r="C388" s="53">
        <f t="shared" si="59"/>
        <v>1</v>
      </c>
      <c r="D388" s="959"/>
      <c r="E388" s="53">
        <f t="shared" si="60"/>
        <v>1</v>
      </c>
      <c r="F388" s="959"/>
      <c r="G388" s="53">
        <f t="shared" si="61"/>
        <v>1</v>
      </c>
      <c r="H388" s="959"/>
      <c r="I388" s="53">
        <f t="shared" si="62"/>
        <v>1</v>
      </c>
      <c r="J388" s="959"/>
      <c r="K388" s="53">
        <f t="shared" si="63"/>
        <v>1</v>
      </c>
      <c r="L388" s="959"/>
      <c r="M388" s="53">
        <f t="shared" si="64"/>
        <v>1</v>
      </c>
      <c r="N388" s="959"/>
      <c r="O388" s="53">
        <f t="shared" si="65"/>
        <v>1</v>
      </c>
      <c r="P388" s="959"/>
      <c r="Q388" s="53">
        <f t="shared" si="66"/>
        <v>1</v>
      </c>
      <c r="R388" s="487">
        <f t="shared" si="67"/>
        <v>0</v>
      </c>
      <c r="S388" s="796">
        <f t="shared" si="68"/>
        <v>0</v>
      </c>
    </row>
    <row r="389" spans="1:19">
      <c r="A389" s="961"/>
      <c r="B389" s="137"/>
      <c r="C389" s="53">
        <f t="shared" si="59"/>
        <v>1</v>
      </c>
      <c r="D389" s="959"/>
      <c r="E389" s="53">
        <f t="shared" si="60"/>
        <v>1</v>
      </c>
      <c r="F389" s="959"/>
      <c r="G389" s="53">
        <f t="shared" si="61"/>
        <v>1</v>
      </c>
      <c r="H389" s="959"/>
      <c r="I389" s="53">
        <f t="shared" si="62"/>
        <v>1</v>
      </c>
      <c r="J389" s="959"/>
      <c r="K389" s="53">
        <f t="shared" si="63"/>
        <v>1</v>
      </c>
      <c r="L389" s="959"/>
      <c r="M389" s="53">
        <f t="shared" si="64"/>
        <v>1</v>
      </c>
      <c r="N389" s="959"/>
      <c r="O389" s="53">
        <f t="shared" si="65"/>
        <v>1</v>
      </c>
      <c r="P389" s="959"/>
      <c r="Q389" s="53">
        <f t="shared" si="66"/>
        <v>1</v>
      </c>
      <c r="R389" s="487">
        <f t="shared" si="67"/>
        <v>0</v>
      </c>
      <c r="S389" s="796">
        <f t="shared" si="68"/>
        <v>0</v>
      </c>
    </row>
    <row r="390" spans="1:19">
      <c r="A390" s="961"/>
      <c r="B390" s="137"/>
      <c r="C390" s="53">
        <f t="shared" si="59"/>
        <v>1</v>
      </c>
      <c r="D390" s="959"/>
      <c r="E390" s="53">
        <f t="shared" si="60"/>
        <v>1</v>
      </c>
      <c r="F390" s="959"/>
      <c r="G390" s="53">
        <f t="shared" si="61"/>
        <v>1</v>
      </c>
      <c r="H390" s="959"/>
      <c r="I390" s="53">
        <f t="shared" si="62"/>
        <v>1</v>
      </c>
      <c r="J390" s="959"/>
      <c r="K390" s="53">
        <f t="shared" si="63"/>
        <v>1</v>
      </c>
      <c r="L390" s="959"/>
      <c r="M390" s="53">
        <f t="shared" si="64"/>
        <v>1</v>
      </c>
      <c r="N390" s="959"/>
      <c r="O390" s="53">
        <f t="shared" si="65"/>
        <v>1</v>
      </c>
      <c r="P390" s="959"/>
      <c r="Q390" s="53">
        <f t="shared" si="66"/>
        <v>1</v>
      </c>
      <c r="R390" s="487">
        <f t="shared" si="67"/>
        <v>0</v>
      </c>
      <c r="S390" s="796">
        <f t="shared" si="68"/>
        <v>0</v>
      </c>
    </row>
    <row r="391" spans="1:19">
      <c r="A391" s="961"/>
      <c r="B391" s="137"/>
      <c r="C391" s="53">
        <f t="shared" si="59"/>
        <v>1</v>
      </c>
      <c r="D391" s="959"/>
      <c r="E391" s="53">
        <f t="shared" si="60"/>
        <v>1</v>
      </c>
      <c r="F391" s="959"/>
      <c r="G391" s="53">
        <f t="shared" si="61"/>
        <v>1</v>
      </c>
      <c r="H391" s="959"/>
      <c r="I391" s="53">
        <f t="shared" si="62"/>
        <v>1</v>
      </c>
      <c r="J391" s="959"/>
      <c r="K391" s="53">
        <f t="shared" si="63"/>
        <v>1</v>
      </c>
      <c r="L391" s="959"/>
      <c r="M391" s="53">
        <f t="shared" si="64"/>
        <v>1</v>
      </c>
      <c r="N391" s="959"/>
      <c r="O391" s="53">
        <f t="shared" si="65"/>
        <v>1</v>
      </c>
      <c r="P391" s="959"/>
      <c r="Q391" s="53">
        <f t="shared" si="66"/>
        <v>1</v>
      </c>
      <c r="R391" s="487">
        <f t="shared" si="67"/>
        <v>0</v>
      </c>
      <c r="S391" s="796">
        <f t="shared" si="68"/>
        <v>0</v>
      </c>
    </row>
    <row r="392" spans="1:19">
      <c r="A392" s="961"/>
      <c r="B392" s="137"/>
      <c r="C392" s="53">
        <f t="shared" si="59"/>
        <v>1</v>
      </c>
      <c r="D392" s="959"/>
      <c r="E392" s="53">
        <f t="shared" si="60"/>
        <v>1</v>
      </c>
      <c r="F392" s="959"/>
      <c r="G392" s="53">
        <f t="shared" si="61"/>
        <v>1</v>
      </c>
      <c r="H392" s="959"/>
      <c r="I392" s="53">
        <f t="shared" si="62"/>
        <v>1</v>
      </c>
      <c r="J392" s="959"/>
      <c r="K392" s="53">
        <f t="shared" si="63"/>
        <v>1</v>
      </c>
      <c r="L392" s="959"/>
      <c r="M392" s="53">
        <f t="shared" si="64"/>
        <v>1</v>
      </c>
      <c r="N392" s="959"/>
      <c r="O392" s="53">
        <f t="shared" si="65"/>
        <v>1</v>
      </c>
      <c r="P392" s="959"/>
      <c r="Q392" s="53">
        <f t="shared" si="66"/>
        <v>1</v>
      </c>
      <c r="R392" s="487">
        <f t="shared" si="67"/>
        <v>0</v>
      </c>
      <c r="S392" s="796">
        <f t="shared" si="68"/>
        <v>0</v>
      </c>
    </row>
    <row r="393" spans="1:19">
      <c r="A393" s="961"/>
      <c r="B393" s="137"/>
      <c r="C393" s="53">
        <f t="shared" si="59"/>
        <v>1</v>
      </c>
      <c r="D393" s="959"/>
      <c r="E393" s="53">
        <f t="shared" si="60"/>
        <v>1</v>
      </c>
      <c r="F393" s="959"/>
      <c r="G393" s="53">
        <f t="shared" si="61"/>
        <v>1</v>
      </c>
      <c r="H393" s="959"/>
      <c r="I393" s="53">
        <f t="shared" si="62"/>
        <v>1</v>
      </c>
      <c r="J393" s="959"/>
      <c r="K393" s="53">
        <f t="shared" si="63"/>
        <v>1</v>
      </c>
      <c r="L393" s="959"/>
      <c r="M393" s="53">
        <f t="shared" si="64"/>
        <v>1</v>
      </c>
      <c r="N393" s="959"/>
      <c r="O393" s="53">
        <f t="shared" si="65"/>
        <v>1</v>
      </c>
      <c r="P393" s="959"/>
      <c r="Q393" s="53">
        <f t="shared" si="66"/>
        <v>1</v>
      </c>
      <c r="R393" s="487">
        <f t="shared" si="67"/>
        <v>0</v>
      </c>
      <c r="S393" s="796">
        <f t="shared" si="68"/>
        <v>0</v>
      </c>
    </row>
    <row r="394" spans="1:19">
      <c r="A394" s="961"/>
      <c r="B394" s="137"/>
      <c r="C394" s="53">
        <f t="shared" si="59"/>
        <v>1</v>
      </c>
      <c r="D394" s="959"/>
      <c r="E394" s="53">
        <f t="shared" si="60"/>
        <v>1</v>
      </c>
      <c r="F394" s="959"/>
      <c r="G394" s="53">
        <f t="shared" si="61"/>
        <v>1</v>
      </c>
      <c r="H394" s="959"/>
      <c r="I394" s="53">
        <f t="shared" si="62"/>
        <v>1</v>
      </c>
      <c r="J394" s="959"/>
      <c r="K394" s="53">
        <f t="shared" si="63"/>
        <v>1</v>
      </c>
      <c r="L394" s="959"/>
      <c r="M394" s="53">
        <f t="shared" si="64"/>
        <v>1</v>
      </c>
      <c r="N394" s="959"/>
      <c r="O394" s="53">
        <f t="shared" si="65"/>
        <v>1</v>
      </c>
      <c r="P394" s="959"/>
      <c r="Q394" s="53">
        <f t="shared" si="66"/>
        <v>1</v>
      </c>
      <c r="R394" s="487">
        <f t="shared" si="67"/>
        <v>0</v>
      </c>
      <c r="S394" s="796">
        <f t="shared" si="68"/>
        <v>0</v>
      </c>
    </row>
    <row r="395" spans="1:19">
      <c r="A395" s="961"/>
      <c r="B395" s="137"/>
      <c r="C395" s="53">
        <f t="shared" si="59"/>
        <v>1</v>
      </c>
      <c r="D395" s="959"/>
      <c r="E395" s="53">
        <f t="shared" si="60"/>
        <v>1</v>
      </c>
      <c r="F395" s="959"/>
      <c r="G395" s="53">
        <f t="shared" si="61"/>
        <v>1</v>
      </c>
      <c r="H395" s="959"/>
      <c r="I395" s="53">
        <f t="shared" si="62"/>
        <v>1</v>
      </c>
      <c r="J395" s="959"/>
      <c r="K395" s="53">
        <f t="shared" si="63"/>
        <v>1</v>
      </c>
      <c r="L395" s="959"/>
      <c r="M395" s="53">
        <f t="shared" si="64"/>
        <v>1</v>
      </c>
      <c r="N395" s="959"/>
      <c r="O395" s="53">
        <f t="shared" si="65"/>
        <v>1</v>
      </c>
      <c r="P395" s="959"/>
      <c r="Q395" s="53">
        <f t="shared" si="66"/>
        <v>1</v>
      </c>
      <c r="R395" s="487">
        <f t="shared" si="67"/>
        <v>0</v>
      </c>
      <c r="S395" s="796">
        <f t="shared" si="68"/>
        <v>0</v>
      </c>
    </row>
    <row r="396" spans="1:19">
      <c r="A396" s="961"/>
      <c r="B396" s="137"/>
      <c r="C396" s="53">
        <f t="shared" si="59"/>
        <v>1</v>
      </c>
      <c r="D396" s="959"/>
      <c r="E396" s="53">
        <f t="shared" si="60"/>
        <v>1</v>
      </c>
      <c r="F396" s="959"/>
      <c r="G396" s="53">
        <f t="shared" si="61"/>
        <v>1</v>
      </c>
      <c r="H396" s="959"/>
      <c r="I396" s="53">
        <f t="shared" si="62"/>
        <v>1</v>
      </c>
      <c r="J396" s="959"/>
      <c r="K396" s="53">
        <f t="shared" si="63"/>
        <v>1</v>
      </c>
      <c r="L396" s="959"/>
      <c r="M396" s="53">
        <f t="shared" si="64"/>
        <v>1</v>
      </c>
      <c r="N396" s="959"/>
      <c r="O396" s="53">
        <f t="shared" si="65"/>
        <v>1</v>
      </c>
      <c r="P396" s="959"/>
      <c r="Q396" s="53">
        <f t="shared" si="66"/>
        <v>1</v>
      </c>
      <c r="R396" s="487">
        <f t="shared" si="67"/>
        <v>0</v>
      </c>
      <c r="S396" s="796">
        <f t="shared" si="68"/>
        <v>0</v>
      </c>
    </row>
    <row r="397" spans="1:19">
      <c r="A397" s="961"/>
      <c r="B397" s="137"/>
      <c r="C397" s="53">
        <f t="shared" si="59"/>
        <v>1</v>
      </c>
      <c r="D397" s="959"/>
      <c r="E397" s="53">
        <f t="shared" si="60"/>
        <v>1</v>
      </c>
      <c r="F397" s="959"/>
      <c r="G397" s="53">
        <f t="shared" si="61"/>
        <v>1</v>
      </c>
      <c r="H397" s="959"/>
      <c r="I397" s="53">
        <f t="shared" si="62"/>
        <v>1</v>
      </c>
      <c r="J397" s="959"/>
      <c r="K397" s="53">
        <f t="shared" si="63"/>
        <v>1</v>
      </c>
      <c r="L397" s="959"/>
      <c r="M397" s="53">
        <f t="shared" si="64"/>
        <v>1</v>
      </c>
      <c r="N397" s="959"/>
      <c r="O397" s="53">
        <f t="shared" si="65"/>
        <v>1</v>
      </c>
      <c r="P397" s="959"/>
      <c r="Q397" s="53">
        <f t="shared" si="66"/>
        <v>1</v>
      </c>
      <c r="R397" s="487">
        <f t="shared" si="67"/>
        <v>0</v>
      </c>
      <c r="S397" s="796">
        <f t="shared" si="68"/>
        <v>0</v>
      </c>
    </row>
    <row r="398" spans="1:19">
      <c r="A398" s="961"/>
      <c r="B398" s="137"/>
      <c r="C398" s="53">
        <f t="shared" si="59"/>
        <v>1</v>
      </c>
      <c r="D398" s="959"/>
      <c r="E398" s="53">
        <f t="shared" si="60"/>
        <v>1</v>
      </c>
      <c r="F398" s="959"/>
      <c r="G398" s="53">
        <f t="shared" si="61"/>
        <v>1</v>
      </c>
      <c r="H398" s="959"/>
      <c r="I398" s="53">
        <f t="shared" si="62"/>
        <v>1</v>
      </c>
      <c r="J398" s="959"/>
      <c r="K398" s="53">
        <f t="shared" si="63"/>
        <v>1</v>
      </c>
      <c r="L398" s="959"/>
      <c r="M398" s="53">
        <f t="shared" si="64"/>
        <v>1</v>
      </c>
      <c r="N398" s="959"/>
      <c r="O398" s="53">
        <f t="shared" si="65"/>
        <v>1</v>
      </c>
      <c r="P398" s="959"/>
      <c r="Q398" s="53">
        <f t="shared" si="66"/>
        <v>1</v>
      </c>
      <c r="R398" s="487">
        <f t="shared" si="67"/>
        <v>0</v>
      </c>
      <c r="S398" s="796">
        <f t="shared" si="68"/>
        <v>0</v>
      </c>
    </row>
    <row r="399" spans="1:19">
      <c r="A399" s="961"/>
      <c r="B399" s="137"/>
      <c r="C399" s="53">
        <f t="shared" si="59"/>
        <v>1</v>
      </c>
      <c r="D399" s="959"/>
      <c r="E399" s="53">
        <f t="shared" si="60"/>
        <v>1</v>
      </c>
      <c r="F399" s="959"/>
      <c r="G399" s="53">
        <f t="shared" si="61"/>
        <v>1</v>
      </c>
      <c r="H399" s="959"/>
      <c r="I399" s="53">
        <f t="shared" si="62"/>
        <v>1</v>
      </c>
      <c r="J399" s="959"/>
      <c r="K399" s="53">
        <f t="shared" si="63"/>
        <v>1</v>
      </c>
      <c r="L399" s="959"/>
      <c r="M399" s="53">
        <f t="shared" si="64"/>
        <v>1</v>
      </c>
      <c r="N399" s="959"/>
      <c r="O399" s="53">
        <f t="shared" si="65"/>
        <v>1</v>
      </c>
      <c r="P399" s="959"/>
      <c r="Q399" s="53">
        <f t="shared" si="66"/>
        <v>1</v>
      </c>
      <c r="R399" s="487">
        <f t="shared" si="67"/>
        <v>0</v>
      </c>
      <c r="S399" s="796">
        <f t="shared" si="68"/>
        <v>0</v>
      </c>
    </row>
    <row r="400" spans="1:19">
      <c r="A400" s="961"/>
      <c r="B400" s="137"/>
      <c r="C400" s="53">
        <f t="shared" si="59"/>
        <v>1</v>
      </c>
      <c r="D400" s="959"/>
      <c r="E400" s="53">
        <f t="shared" si="60"/>
        <v>1</v>
      </c>
      <c r="F400" s="959"/>
      <c r="G400" s="53">
        <f t="shared" si="61"/>
        <v>1</v>
      </c>
      <c r="H400" s="959"/>
      <c r="I400" s="53">
        <f t="shared" si="62"/>
        <v>1</v>
      </c>
      <c r="J400" s="959"/>
      <c r="K400" s="53">
        <f t="shared" si="63"/>
        <v>1</v>
      </c>
      <c r="L400" s="959"/>
      <c r="M400" s="53">
        <f t="shared" si="64"/>
        <v>1</v>
      </c>
      <c r="N400" s="959"/>
      <c r="O400" s="53">
        <f t="shared" si="65"/>
        <v>1</v>
      </c>
      <c r="P400" s="959"/>
      <c r="Q400" s="53">
        <f t="shared" si="66"/>
        <v>1</v>
      </c>
      <c r="R400" s="487">
        <f t="shared" si="67"/>
        <v>0</v>
      </c>
      <c r="S400" s="796">
        <f t="shared" si="68"/>
        <v>0</v>
      </c>
    </row>
    <row r="401" spans="1:19">
      <c r="A401" s="961"/>
      <c r="B401" s="137"/>
      <c r="C401" s="53">
        <f t="shared" si="59"/>
        <v>1</v>
      </c>
      <c r="D401" s="959"/>
      <c r="E401" s="53">
        <f t="shared" si="60"/>
        <v>1</v>
      </c>
      <c r="F401" s="959"/>
      <c r="G401" s="53">
        <f t="shared" si="61"/>
        <v>1</v>
      </c>
      <c r="H401" s="959"/>
      <c r="I401" s="53">
        <f t="shared" si="62"/>
        <v>1</v>
      </c>
      <c r="J401" s="959"/>
      <c r="K401" s="53">
        <f t="shared" si="63"/>
        <v>1</v>
      </c>
      <c r="L401" s="959"/>
      <c r="M401" s="53">
        <f t="shared" si="64"/>
        <v>1</v>
      </c>
      <c r="N401" s="959"/>
      <c r="O401" s="53">
        <f t="shared" si="65"/>
        <v>1</v>
      </c>
      <c r="P401" s="959"/>
      <c r="Q401" s="53">
        <f t="shared" si="66"/>
        <v>1</v>
      </c>
      <c r="R401" s="487">
        <f t="shared" si="67"/>
        <v>0</v>
      </c>
      <c r="S401" s="796">
        <f t="shared" si="68"/>
        <v>0</v>
      </c>
    </row>
    <row r="402" spans="1:19">
      <c r="A402" s="961"/>
      <c r="B402" s="137"/>
      <c r="C402" s="53">
        <f t="shared" si="59"/>
        <v>1</v>
      </c>
      <c r="D402" s="959"/>
      <c r="E402" s="53">
        <f t="shared" si="60"/>
        <v>1</v>
      </c>
      <c r="F402" s="959"/>
      <c r="G402" s="53">
        <f t="shared" si="61"/>
        <v>1</v>
      </c>
      <c r="H402" s="959"/>
      <c r="I402" s="53">
        <f t="shared" si="62"/>
        <v>1</v>
      </c>
      <c r="J402" s="959"/>
      <c r="K402" s="53">
        <f t="shared" si="63"/>
        <v>1</v>
      </c>
      <c r="L402" s="959"/>
      <c r="M402" s="53">
        <f t="shared" si="64"/>
        <v>1</v>
      </c>
      <c r="N402" s="959"/>
      <c r="O402" s="53">
        <f t="shared" si="65"/>
        <v>1</v>
      </c>
      <c r="P402" s="959"/>
      <c r="Q402" s="53">
        <f t="shared" si="66"/>
        <v>1</v>
      </c>
      <c r="R402" s="487">
        <f t="shared" si="67"/>
        <v>0</v>
      </c>
      <c r="S402" s="796">
        <f t="shared" si="68"/>
        <v>0</v>
      </c>
    </row>
    <row r="403" spans="1:19">
      <c r="A403" s="961"/>
      <c r="B403" s="137"/>
      <c r="C403" s="53">
        <f t="shared" si="59"/>
        <v>1</v>
      </c>
      <c r="D403" s="959"/>
      <c r="E403" s="53">
        <f t="shared" si="60"/>
        <v>1</v>
      </c>
      <c r="F403" s="959"/>
      <c r="G403" s="53">
        <f t="shared" si="61"/>
        <v>1</v>
      </c>
      <c r="H403" s="959"/>
      <c r="I403" s="53">
        <f t="shared" si="62"/>
        <v>1</v>
      </c>
      <c r="J403" s="959"/>
      <c r="K403" s="53">
        <f t="shared" si="63"/>
        <v>1</v>
      </c>
      <c r="L403" s="959"/>
      <c r="M403" s="53">
        <f t="shared" si="64"/>
        <v>1</v>
      </c>
      <c r="N403" s="959"/>
      <c r="O403" s="53">
        <f t="shared" si="65"/>
        <v>1</v>
      </c>
      <c r="P403" s="959"/>
      <c r="Q403" s="53">
        <f t="shared" si="66"/>
        <v>1</v>
      </c>
      <c r="R403" s="487">
        <f t="shared" si="67"/>
        <v>0</v>
      </c>
      <c r="S403" s="796">
        <f t="shared" si="68"/>
        <v>0</v>
      </c>
    </row>
    <row r="404" spans="1:19">
      <c r="A404" s="961"/>
      <c r="B404" s="137"/>
      <c r="C404" s="53">
        <f t="shared" si="59"/>
        <v>1</v>
      </c>
      <c r="D404" s="959"/>
      <c r="E404" s="53">
        <f t="shared" si="60"/>
        <v>1</v>
      </c>
      <c r="F404" s="959"/>
      <c r="G404" s="53">
        <f t="shared" si="61"/>
        <v>1</v>
      </c>
      <c r="H404" s="959"/>
      <c r="I404" s="53">
        <f t="shared" si="62"/>
        <v>1</v>
      </c>
      <c r="J404" s="959"/>
      <c r="K404" s="53">
        <f t="shared" si="63"/>
        <v>1</v>
      </c>
      <c r="L404" s="959"/>
      <c r="M404" s="53">
        <f t="shared" si="64"/>
        <v>1</v>
      </c>
      <c r="N404" s="959"/>
      <c r="O404" s="53">
        <f t="shared" si="65"/>
        <v>1</v>
      </c>
      <c r="P404" s="959"/>
      <c r="Q404" s="53">
        <f t="shared" si="66"/>
        <v>1</v>
      </c>
      <c r="R404" s="487">
        <f t="shared" si="67"/>
        <v>0</v>
      </c>
      <c r="S404" s="796">
        <f t="shared" si="68"/>
        <v>0</v>
      </c>
    </row>
    <row r="405" spans="1:19">
      <c r="A405" s="961"/>
      <c r="B405" s="137"/>
      <c r="C405" s="53">
        <f t="shared" si="59"/>
        <v>1</v>
      </c>
      <c r="D405" s="959"/>
      <c r="E405" s="53">
        <f t="shared" si="60"/>
        <v>1</v>
      </c>
      <c r="F405" s="959"/>
      <c r="G405" s="53">
        <f t="shared" si="61"/>
        <v>1</v>
      </c>
      <c r="H405" s="959"/>
      <c r="I405" s="53">
        <f t="shared" si="62"/>
        <v>1</v>
      </c>
      <c r="J405" s="959"/>
      <c r="K405" s="53">
        <f t="shared" si="63"/>
        <v>1</v>
      </c>
      <c r="L405" s="959"/>
      <c r="M405" s="53">
        <f t="shared" si="64"/>
        <v>1</v>
      </c>
      <c r="N405" s="959"/>
      <c r="O405" s="53">
        <f t="shared" si="65"/>
        <v>1</v>
      </c>
      <c r="P405" s="959"/>
      <c r="Q405" s="53">
        <f t="shared" si="66"/>
        <v>1</v>
      </c>
      <c r="R405" s="487">
        <f t="shared" si="67"/>
        <v>0</v>
      </c>
      <c r="S405" s="796">
        <f t="shared" si="68"/>
        <v>0</v>
      </c>
    </row>
    <row r="406" spans="1:19">
      <c r="A406" s="961"/>
      <c r="B406" s="137"/>
      <c r="C406" s="53">
        <f t="shared" si="59"/>
        <v>1</v>
      </c>
      <c r="D406" s="959"/>
      <c r="E406" s="53">
        <f t="shared" si="60"/>
        <v>1</v>
      </c>
      <c r="F406" s="959"/>
      <c r="G406" s="53">
        <f t="shared" si="61"/>
        <v>1</v>
      </c>
      <c r="H406" s="959"/>
      <c r="I406" s="53">
        <f t="shared" si="62"/>
        <v>1</v>
      </c>
      <c r="J406" s="959"/>
      <c r="K406" s="53">
        <f t="shared" si="63"/>
        <v>1</v>
      </c>
      <c r="L406" s="959"/>
      <c r="M406" s="53">
        <f t="shared" si="64"/>
        <v>1</v>
      </c>
      <c r="N406" s="959"/>
      <c r="O406" s="53">
        <f t="shared" si="65"/>
        <v>1</v>
      </c>
      <c r="P406" s="959"/>
      <c r="Q406" s="53">
        <f t="shared" si="66"/>
        <v>1</v>
      </c>
      <c r="R406" s="487">
        <f t="shared" si="67"/>
        <v>0</v>
      </c>
      <c r="S406" s="796">
        <f t="shared" si="68"/>
        <v>0</v>
      </c>
    </row>
    <row r="407" spans="1:19">
      <c r="A407" s="961"/>
      <c r="B407" s="137"/>
      <c r="C407" s="53">
        <f t="shared" si="59"/>
        <v>1</v>
      </c>
      <c r="D407" s="959"/>
      <c r="E407" s="53">
        <f t="shared" si="60"/>
        <v>1</v>
      </c>
      <c r="F407" s="959"/>
      <c r="G407" s="53">
        <f t="shared" si="61"/>
        <v>1</v>
      </c>
      <c r="H407" s="959"/>
      <c r="I407" s="53">
        <f t="shared" si="62"/>
        <v>1</v>
      </c>
      <c r="J407" s="959"/>
      <c r="K407" s="53">
        <f t="shared" si="63"/>
        <v>1</v>
      </c>
      <c r="L407" s="959"/>
      <c r="M407" s="53">
        <f t="shared" si="64"/>
        <v>1</v>
      </c>
      <c r="N407" s="959"/>
      <c r="O407" s="53">
        <f t="shared" si="65"/>
        <v>1</v>
      </c>
      <c r="P407" s="959"/>
      <c r="Q407" s="53">
        <f t="shared" si="66"/>
        <v>1</v>
      </c>
      <c r="R407" s="487">
        <f t="shared" si="67"/>
        <v>0</v>
      </c>
      <c r="S407" s="796">
        <f t="shared" si="68"/>
        <v>0</v>
      </c>
    </row>
    <row r="408" spans="1:19">
      <c r="A408" s="961"/>
      <c r="B408" s="137"/>
      <c r="C408" s="53">
        <f t="shared" si="59"/>
        <v>1</v>
      </c>
      <c r="D408" s="959"/>
      <c r="E408" s="53">
        <f t="shared" si="60"/>
        <v>1</v>
      </c>
      <c r="F408" s="959"/>
      <c r="G408" s="53">
        <f t="shared" si="61"/>
        <v>1</v>
      </c>
      <c r="H408" s="959"/>
      <c r="I408" s="53">
        <f t="shared" si="62"/>
        <v>1</v>
      </c>
      <c r="J408" s="959"/>
      <c r="K408" s="53">
        <f t="shared" si="63"/>
        <v>1</v>
      </c>
      <c r="L408" s="959"/>
      <c r="M408" s="53">
        <f t="shared" si="64"/>
        <v>1</v>
      </c>
      <c r="N408" s="959"/>
      <c r="O408" s="53">
        <f t="shared" si="65"/>
        <v>1</v>
      </c>
      <c r="P408" s="959"/>
      <c r="Q408" s="53">
        <f t="shared" si="66"/>
        <v>1</v>
      </c>
      <c r="R408" s="487">
        <f t="shared" si="67"/>
        <v>0</v>
      </c>
      <c r="S408" s="796">
        <f t="shared" si="68"/>
        <v>0</v>
      </c>
    </row>
    <row r="409" spans="1:19">
      <c r="A409" s="961"/>
      <c r="B409" s="137"/>
      <c r="C409" s="53">
        <f t="shared" si="59"/>
        <v>1</v>
      </c>
      <c r="D409" s="959"/>
      <c r="E409" s="53">
        <f t="shared" si="60"/>
        <v>1</v>
      </c>
      <c r="F409" s="959"/>
      <c r="G409" s="53">
        <f t="shared" si="61"/>
        <v>1</v>
      </c>
      <c r="H409" s="959"/>
      <c r="I409" s="53">
        <f t="shared" si="62"/>
        <v>1</v>
      </c>
      <c r="J409" s="959"/>
      <c r="K409" s="53">
        <f t="shared" si="63"/>
        <v>1</v>
      </c>
      <c r="L409" s="959"/>
      <c r="M409" s="53">
        <f t="shared" si="64"/>
        <v>1</v>
      </c>
      <c r="N409" s="959"/>
      <c r="O409" s="53">
        <f t="shared" si="65"/>
        <v>1</v>
      </c>
      <c r="P409" s="959"/>
      <c r="Q409" s="53">
        <f t="shared" si="66"/>
        <v>1</v>
      </c>
      <c r="R409" s="487">
        <f t="shared" si="67"/>
        <v>0</v>
      </c>
      <c r="S409" s="796">
        <f t="shared" si="68"/>
        <v>0</v>
      </c>
    </row>
    <row r="410" spans="1:19">
      <c r="A410" s="961"/>
      <c r="B410" s="137"/>
      <c r="C410" s="53">
        <f t="shared" ref="C410:C473" si="69">IF(B410="",1,(LOOKUP(B410,$3:$3,$4:$4)-LOOKUP($B$24,$3:$3,$4:$4)+100)/100)</f>
        <v>1</v>
      </c>
      <c r="D410" s="959"/>
      <c r="E410" s="53">
        <f t="shared" ref="E410:E473" si="70">(SUMIF($5:$5,D410,$6:$6)-SUMIF($5:$5,$D$24,$6:$6)+100)/100</f>
        <v>1</v>
      </c>
      <c r="F410" s="959"/>
      <c r="G410" s="53">
        <f t="shared" ref="G410:G473" si="71">(SUMIF($7:$7,F410,$8:$8)-SUMIF($7:$7,$F$24,$8:$8)+100)/100</f>
        <v>1</v>
      </c>
      <c r="H410" s="959"/>
      <c r="I410" s="53">
        <f t="shared" ref="I410:I473" si="72">(SUMIF($9:$9,H410,$10:$10)-SUMIF($9:$9,$H$24,$10:$10)+100)/100</f>
        <v>1</v>
      </c>
      <c r="J410" s="959"/>
      <c r="K410" s="53">
        <f t="shared" ref="K410:K473" si="73">(SUMIF($11:$11,J410,$12:$12)-SUMIF($11:$11,$J$24,$12:$12)+100)/100</f>
        <v>1</v>
      </c>
      <c r="L410" s="959"/>
      <c r="M410" s="53">
        <f t="shared" ref="M410:M473" si="74">(SUMIF($13:$13,L410,$14:$14)-SUMIF($13:$13,$L$24,$14:$14)+100)/100</f>
        <v>1</v>
      </c>
      <c r="N410" s="959"/>
      <c r="O410" s="53">
        <f t="shared" ref="O410:O473" si="75">(SUMIF($15:$15,N410,$16:$16)-SUMIF($15:$15,$N$24,$16:$16)+100)/100</f>
        <v>1</v>
      </c>
      <c r="P410" s="959"/>
      <c r="Q410" s="53">
        <f t="shared" ref="Q410:Q473" si="76">(SUMIF($17:$17,P410,$18:$18)-SUMIF($17:$17,$P$24,$18:$18)+100)/100</f>
        <v>1</v>
      </c>
      <c r="R410" s="487">
        <f t="shared" ref="R410:R473" si="77">IF(B410="",0,ROUND($R$24*C410*E410*G410*I410*K410*M410*O410*Q410,0))</f>
        <v>0</v>
      </c>
      <c r="S410" s="796">
        <f t="shared" si="68"/>
        <v>0</v>
      </c>
    </row>
    <row r="411" spans="1:19">
      <c r="A411" s="961"/>
      <c r="B411" s="137"/>
      <c r="C411" s="53">
        <f t="shared" si="69"/>
        <v>1</v>
      </c>
      <c r="D411" s="959"/>
      <c r="E411" s="53">
        <f t="shared" si="70"/>
        <v>1</v>
      </c>
      <c r="F411" s="959"/>
      <c r="G411" s="53">
        <f t="shared" si="71"/>
        <v>1</v>
      </c>
      <c r="H411" s="959"/>
      <c r="I411" s="53">
        <f t="shared" si="72"/>
        <v>1</v>
      </c>
      <c r="J411" s="959"/>
      <c r="K411" s="53">
        <f t="shared" si="73"/>
        <v>1</v>
      </c>
      <c r="L411" s="959"/>
      <c r="M411" s="53">
        <f t="shared" si="74"/>
        <v>1</v>
      </c>
      <c r="N411" s="959"/>
      <c r="O411" s="53">
        <f t="shared" si="75"/>
        <v>1</v>
      </c>
      <c r="P411" s="959"/>
      <c r="Q411" s="53">
        <f t="shared" si="76"/>
        <v>1</v>
      </c>
      <c r="R411" s="487">
        <f t="shared" si="77"/>
        <v>0</v>
      </c>
      <c r="S411" s="796">
        <f t="shared" si="68"/>
        <v>0</v>
      </c>
    </row>
    <row r="412" spans="1:19">
      <c r="A412" s="961"/>
      <c r="B412" s="137"/>
      <c r="C412" s="53">
        <f t="shared" si="69"/>
        <v>1</v>
      </c>
      <c r="D412" s="959"/>
      <c r="E412" s="53">
        <f t="shared" si="70"/>
        <v>1</v>
      </c>
      <c r="F412" s="959"/>
      <c r="G412" s="53">
        <f t="shared" si="71"/>
        <v>1</v>
      </c>
      <c r="H412" s="959"/>
      <c r="I412" s="53">
        <f t="shared" si="72"/>
        <v>1</v>
      </c>
      <c r="J412" s="959"/>
      <c r="K412" s="53">
        <f t="shared" si="73"/>
        <v>1</v>
      </c>
      <c r="L412" s="959"/>
      <c r="M412" s="53">
        <f t="shared" si="74"/>
        <v>1</v>
      </c>
      <c r="N412" s="959"/>
      <c r="O412" s="53">
        <f t="shared" si="75"/>
        <v>1</v>
      </c>
      <c r="P412" s="959"/>
      <c r="Q412" s="53">
        <f t="shared" si="76"/>
        <v>1</v>
      </c>
      <c r="R412" s="487">
        <f t="shared" si="77"/>
        <v>0</v>
      </c>
      <c r="S412" s="796">
        <f t="shared" si="68"/>
        <v>0</v>
      </c>
    </row>
    <row r="413" spans="1:19">
      <c r="A413" s="961"/>
      <c r="B413" s="137"/>
      <c r="C413" s="53">
        <f t="shared" si="69"/>
        <v>1</v>
      </c>
      <c r="D413" s="959"/>
      <c r="E413" s="53">
        <f t="shared" si="70"/>
        <v>1</v>
      </c>
      <c r="F413" s="959"/>
      <c r="G413" s="53">
        <f t="shared" si="71"/>
        <v>1</v>
      </c>
      <c r="H413" s="959"/>
      <c r="I413" s="53">
        <f t="shared" si="72"/>
        <v>1</v>
      </c>
      <c r="J413" s="959"/>
      <c r="K413" s="53">
        <f t="shared" si="73"/>
        <v>1</v>
      </c>
      <c r="L413" s="959"/>
      <c r="M413" s="53">
        <f t="shared" si="74"/>
        <v>1</v>
      </c>
      <c r="N413" s="959"/>
      <c r="O413" s="53">
        <f t="shared" si="75"/>
        <v>1</v>
      </c>
      <c r="P413" s="959"/>
      <c r="Q413" s="53">
        <f t="shared" si="76"/>
        <v>1</v>
      </c>
      <c r="R413" s="487">
        <f t="shared" si="77"/>
        <v>0</v>
      </c>
      <c r="S413" s="796">
        <f t="shared" si="68"/>
        <v>0</v>
      </c>
    </row>
    <row r="414" spans="1:19">
      <c r="A414" s="961"/>
      <c r="B414" s="137"/>
      <c r="C414" s="53">
        <f t="shared" si="69"/>
        <v>1</v>
      </c>
      <c r="D414" s="959"/>
      <c r="E414" s="53">
        <f t="shared" si="70"/>
        <v>1</v>
      </c>
      <c r="F414" s="959"/>
      <c r="G414" s="53">
        <f t="shared" si="71"/>
        <v>1</v>
      </c>
      <c r="H414" s="959"/>
      <c r="I414" s="53">
        <f t="shared" si="72"/>
        <v>1</v>
      </c>
      <c r="J414" s="959"/>
      <c r="K414" s="53">
        <f t="shared" si="73"/>
        <v>1</v>
      </c>
      <c r="L414" s="959"/>
      <c r="M414" s="53">
        <f t="shared" si="74"/>
        <v>1</v>
      </c>
      <c r="N414" s="959"/>
      <c r="O414" s="53">
        <f t="shared" si="75"/>
        <v>1</v>
      </c>
      <c r="P414" s="959"/>
      <c r="Q414" s="53">
        <f t="shared" si="76"/>
        <v>1</v>
      </c>
      <c r="R414" s="487">
        <f t="shared" si="77"/>
        <v>0</v>
      </c>
      <c r="S414" s="796">
        <f t="shared" si="68"/>
        <v>0</v>
      </c>
    </row>
    <row r="415" spans="1:19">
      <c r="A415" s="961"/>
      <c r="B415" s="137"/>
      <c r="C415" s="53">
        <f t="shared" si="69"/>
        <v>1</v>
      </c>
      <c r="D415" s="959"/>
      <c r="E415" s="53">
        <f t="shared" si="70"/>
        <v>1</v>
      </c>
      <c r="F415" s="959"/>
      <c r="G415" s="53">
        <f t="shared" si="71"/>
        <v>1</v>
      </c>
      <c r="H415" s="959"/>
      <c r="I415" s="53">
        <f t="shared" si="72"/>
        <v>1</v>
      </c>
      <c r="J415" s="959"/>
      <c r="K415" s="53">
        <f t="shared" si="73"/>
        <v>1</v>
      </c>
      <c r="L415" s="959"/>
      <c r="M415" s="53">
        <f t="shared" si="74"/>
        <v>1</v>
      </c>
      <c r="N415" s="959"/>
      <c r="O415" s="53">
        <f t="shared" si="75"/>
        <v>1</v>
      </c>
      <c r="P415" s="959"/>
      <c r="Q415" s="53">
        <f t="shared" si="76"/>
        <v>1</v>
      </c>
      <c r="R415" s="487">
        <f t="shared" si="77"/>
        <v>0</v>
      </c>
      <c r="S415" s="796">
        <f t="shared" si="68"/>
        <v>0</v>
      </c>
    </row>
    <row r="416" spans="1:19">
      <c r="A416" s="961"/>
      <c r="B416" s="137"/>
      <c r="C416" s="53">
        <f t="shared" si="69"/>
        <v>1</v>
      </c>
      <c r="D416" s="959"/>
      <c r="E416" s="53">
        <f t="shared" si="70"/>
        <v>1</v>
      </c>
      <c r="F416" s="959"/>
      <c r="G416" s="53">
        <f t="shared" si="71"/>
        <v>1</v>
      </c>
      <c r="H416" s="959"/>
      <c r="I416" s="53">
        <f t="shared" si="72"/>
        <v>1</v>
      </c>
      <c r="J416" s="959"/>
      <c r="K416" s="53">
        <f t="shared" si="73"/>
        <v>1</v>
      </c>
      <c r="L416" s="959"/>
      <c r="M416" s="53">
        <f t="shared" si="74"/>
        <v>1</v>
      </c>
      <c r="N416" s="959"/>
      <c r="O416" s="53">
        <f t="shared" si="75"/>
        <v>1</v>
      </c>
      <c r="P416" s="959"/>
      <c r="Q416" s="53">
        <f t="shared" si="76"/>
        <v>1</v>
      </c>
      <c r="R416" s="487">
        <f t="shared" si="77"/>
        <v>0</v>
      </c>
      <c r="S416" s="796">
        <f t="shared" si="68"/>
        <v>0</v>
      </c>
    </row>
    <row r="417" spans="1:19">
      <c r="A417" s="961"/>
      <c r="B417" s="137"/>
      <c r="C417" s="53">
        <f t="shared" si="69"/>
        <v>1</v>
      </c>
      <c r="D417" s="959"/>
      <c r="E417" s="53">
        <f t="shared" si="70"/>
        <v>1</v>
      </c>
      <c r="F417" s="959"/>
      <c r="G417" s="53">
        <f t="shared" si="71"/>
        <v>1</v>
      </c>
      <c r="H417" s="959"/>
      <c r="I417" s="53">
        <f t="shared" si="72"/>
        <v>1</v>
      </c>
      <c r="J417" s="959"/>
      <c r="K417" s="53">
        <f t="shared" si="73"/>
        <v>1</v>
      </c>
      <c r="L417" s="959"/>
      <c r="M417" s="53">
        <f t="shared" si="74"/>
        <v>1</v>
      </c>
      <c r="N417" s="959"/>
      <c r="O417" s="53">
        <f t="shared" si="75"/>
        <v>1</v>
      </c>
      <c r="P417" s="959"/>
      <c r="Q417" s="53">
        <f t="shared" si="76"/>
        <v>1</v>
      </c>
      <c r="R417" s="487">
        <f t="shared" si="77"/>
        <v>0</v>
      </c>
      <c r="S417" s="796">
        <f t="shared" si="68"/>
        <v>0</v>
      </c>
    </row>
    <row r="418" spans="1:19">
      <c r="A418" s="961"/>
      <c r="B418" s="137"/>
      <c r="C418" s="53">
        <f t="shared" si="69"/>
        <v>1</v>
      </c>
      <c r="D418" s="959"/>
      <c r="E418" s="53">
        <f t="shared" si="70"/>
        <v>1</v>
      </c>
      <c r="F418" s="959"/>
      <c r="G418" s="53">
        <f t="shared" si="71"/>
        <v>1</v>
      </c>
      <c r="H418" s="959"/>
      <c r="I418" s="53">
        <f t="shared" si="72"/>
        <v>1</v>
      </c>
      <c r="J418" s="959"/>
      <c r="K418" s="53">
        <f t="shared" si="73"/>
        <v>1</v>
      </c>
      <c r="L418" s="959"/>
      <c r="M418" s="53">
        <f t="shared" si="74"/>
        <v>1</v>
      </c>
      <c r="N418" s="959"/>
      <c r="O418" s="53">
        <f t="shared" si="75"/>
        <v>1</v>
      </c>
      <c r="P418" s="959"/>
      <c r="Q418" s="53">
        <f t="shared" si="76"/>
        <v>1</v>
      </c>
      <c r="R418" s="487">
        <f t="shared" si="77"/>
        <v>0</v>
      </c>
      <c r="S418" s="796">
        <f t="shared" si="68"/>
        <v>0</v>
      </c>
    </row>
    <row r="419" spans="1:19">
      <c r="A419" s="961"/>
      <c r="B419" s="137"/>
      <c r="C419" s="53">
        <f t="shared" si="69"/>
        <v>1</v>
      </c>
      <c r="D419" s="959"/>
      <c r="E419" s="53">
        <f t="shared" si="70"/>
        <v>1</v>
      </c>
      <c r="F419" s="959"/>
      <c r="G419" s="53">
        <f t="shared" si="71"/>
        <v>1</v>
      </c>
      <c r="H419" s="959"/>
      <c r="I419" s="53">
        <f t="shared" si="72"/>
        <v>1</v>
      </c>
      <c r="J419" s="959"/>
      <c r="K419" s="53">
        <f t="shared" si="73"/>
        <v>1</v>
      </c>
      <c r="L419" s="959"/>
      <c r="M419" s="53">
        <f t="shared" si="74"/>
        <v>1</v>
      </c>
      <c r="N419" s="959"/>
      <c r="O419" s="53">
        <f t="shared" si="75"/>
        <v>1</v>
      </c>
      <c r="P419" s="959"/>
      <c r="Q419" s="53">
        <f t="shared" si="76"/>
        <v>1</v>
      </c>
      <c r="R419" s="487">
        <f t="shared" si="77"/>
        <v>0</v>
      </c>
      <c r="S419" s="796">
        <f t="shared" si="68"/>
        <v>0</v>
      </c>
    </row>
    <row r="420" spans="1:19">
      <c r="A420" s="961"/>
      <c r="B420" s="137"/>
      <c r="C420" s="53">
        <f t="shared" si="69"/>
        <v>1</v>
      </c>
      <c r="D420" s="959"/>
      <c r="E420" s="53">
        <f t="shared" si="70"/>
        <v>1</v>
      </c>
      <c r="F420" s="959"/>
      <c r="G420" s="53">
        <f t="shared" si="71"/>
        <v>1</v>
      </c>
      <c r="H420" s="959"/>
      <c r="I420" s="53">
        <f t="shared" si="72"/>
        <v>1</v>
      </c>
      <c r="J420" s="959"/>
      <c r="K420" s="53">
        <f t="shared" si="73"/>
        <v>1</v>
      </c>
      <c r="L420" s="959"/>
      <c r="M420" s="53">
        <f t="shared" si="74"/>
        <v>1</v>
      </c>
      <c r="N420" s="959"/>
      <c r="O420" s="53">
        <f t="shared" si="75"/>
        <v>1</v>
      </c>
      <c r="P420" s="959"/>
      <c r="Q420" s="53">
        <f t="shared" si="76"/>
        <v>1</v>
      </c>
      <c r="R420" s="487">
        <f t="shared" si="77"/>
        <v>0</v>
      </c>
      <c r="S420" s="796">
        <f t="shared" si="68"/>
        <v>0</v>
      </c>
    </row>
    <row r="421" spans="1:19">
      <c r="A421" s="961"/>
      <c r="B421" s="137"/>
      <c r="C421" s="53">
        <f t="shared" si="69"/>
        <v>1</v>
      </c>
      <c r="D421" s="959"/>
      <c r="E421" s="53">
        <f t="shared" si="70"/>
        <v>1</v>
      </c>
      <c r="F421" s="959"/>
      <c r="G421" s="53">
        <f t="shared" si="71"/>
        <v>1</v>
      </c>
      <c r="H421" s="959"/>
      <c r="I421" s="53">
        <f t="shared" si="72"/>
        <v>1</v>
      </c>
      <c r="J421" s="959"/>
      <c r="K421" s="53">
        <f t="shared" si="73"/>
        <v>1</v>
      </c>
      <c r="L421" s="959"/>
      <c r="M421" s="53">
        <f t="shared" si="74"/>
        <v>1</v>
      </c>
      <c r="N421" s="959"/>
      <c r="O421" s="53">
        <f t="shared" si="75"/>
        <v>1</v>
      </c>
      <c r="P421" s="959"/>
      <c r="Q421" s="53">
        <f t="shared" si="76"/>
        <v>1</v>
      </c>
      <c r="R421" s="487">
        <f t="shared" si="77"/>
        <v>0</v>
      </c>
      <c r="S421" s="796">
        <f t="shared" si="68"/>
        <v>0</v>
      </c>
    </row>
    <row r="422" spans="1:19">
      <c r="A422" s="961"/>
      <c r="B422" s="137"/>
      <c r="C422" s="53">
        <f t="shared" si="69"/>
        <v>1</v>
      </c>
      <c r="D422" s="959"/>
      <c r="E422" s="53">
        <f t="shared" si="70"/>
        <v>1</v>
      </c>
      <c r="F422" s="959"/>
      <c r="G422" s="53">
        <f t="shared" si="71"/>
        <v>1</v>
      </c>
      <c r="H422" s="959"/>
      <c r="I422" s="53">
        <f t="shared" si="72"/>
        <v>1</v>
      </c>
      <c r="J422" s="959"/>
      <c r="K422" s="53">
        <f t="shared" si="73"/>
        <v>1</v>
      </c>
      <c r="L422" s="959"/>
      <c r="M422" s="53">
        <f t="shared" si="74"/>
        <v>1</v>
      </c>
      <c r="N422" s="959"/>
      <c r="O422" s="53">
        <f t="shared" si="75"/>
        <v>1</v>
      </c>
      <c r="P422" s="959"/>
      <c r="Q422" s="53">
        <f t="shared" si="76"/>
        <v>1</v>
      </c>
      <c r="R422" s="487">
        <f t="shared" si="77"/>
        <v>0</v>
      </c>
      <c r="S422" s="796">
        <f t="shared" si="68"/>
        <v>0</v>
      </c>
    </row>
    <row r="423" spans="1:19">
      <c r="A423" s="961"/>
      <c r="B423" s="137"/>
      <c r="C423" s="53">
        <f t="shared" si="69"/>
        <v>1</v>
      </c>
      <c r="D423" s="959"/>
      <c r="E423" s="53">
        <f t="shared" si="70"/>
        <v>1</v>
      </c>
      <c r="F423" s="959"/>
      <c r="G423" s="53">
        <f t="shared" si="71"/>
        <v>1</v>
      </c>
      <c r="H423" s="959"/>
      <c r="I423" s="53">
        <f t="shared" si="72"/>
        <v>1</v>
      </c>
      <c r="J423" s="959"/>
      <c r="K423" s="53">
        <f t="shared" si="73"/>
        <v>1</v>
      </c>
      <c r="L423" s="959"/>
      <c r="M423" s="53">
        <f t="shared" si="74"/>
        <v>1</v>
      </c>
      <c r="N423" s="959"/>
      <c r="O423" s="53">
        <f t="shared" si="75"/>
        <v>1</v>
      </c>
      <c r="P423" s="959"/>
      <c r="Q423" s="53">
        <f t="shared" si="76"/>
        <v>1</v>
      </c>
      <c r="R423" s="487">
        <f t="shared" si="77"/>
        <v>0</v>
      </c>
      <c r="S423" s="796">
        <f t="shared" ref="S423:S467" si="78">ROUND(R423*B423/10000,0)</f>
        <v>0</v>
      </c>
    </row>
    <row r="424" spans="1:19">
      <c r="A424" s="961"/>
      <c r="B424" s="137"/>
      <c r="C424" s="53">
        <f t="shared" si="69"/>
        <v>1</v>
      </c>
      <c r="D424" s="959"/>
      <c r="E424" s="53">
        <f t="shared" si="70"/>
        <v>1</v>
      </c>
      <c r="F424" s="959"/>
      <c r="G424" s="53">
        <f t="shared" si="71"/>
        <v>1</v>
      </c>
      <c r="H424" s="959"/>
      <c r="I424" s="53">
        <f t="shared" si="72"/>
        <v>1</v>
      </c>
      <c r="J424" s="959"/>
      <c r="K424" s="53">
        <f t="shared" si="73"/>
        <v>1</v>
      </c>
      <c r="L424" s="959"/>
      <c r="M424" s="53">
        <f t="shared" si="74"/>
        <v>1</v>
      </c>
      <c r="N424" s="959"/>
      <c r="O424" s="53">
        <f t="shared" si="75"/>
        <v>1</v>
      </c>
      <c r="P424" s="959"/>
      <c r="Q424" s="53">
        <f t="shared" si="76"/>
        <v>1</v>
      </c>
      <c r="R424" s="487">
        <f t="shared" si="77"/>
        <v>0</v>
      </c>
      <c r="S424" s="796">
        <f t="shared" si="78"/>
        <v>0</v>
      </c>
    </row>
    <row r="425" spans="1:19">
      <c r="A425" s="961"/>
      <c r="B425" s="137"/>
      <c r="C425" s="53">
        <f t="shared" si="69"/>
        <v>1</v>
      </c>
      <c r="D425" s="959"/>
      <c r="E425" s="53">
        <f t="shared" si="70"/>
        <v>1</v>
      </c>
      <c r="F425" s="959"/>
      <c r="G425" s="53">
        <f t="shared" si="71"/>
        <v>1</v>
      </c>
      <c r="H425" s="959"/>
      <c r="I425" s="53">
        <f t="shared" si="72"/>
        <v>1</v>
      </c>
      <c r="J425" s="959"/>
      <c r="K425" s="53">
        <f t="shared" si="73"/>
        <v>1</v>
      </c>
      <c r="L425" s="959"/>
      <c r="M425" s="53">
        <f t="shared" si="74"/>
        <v>1</v>
      </c>
      <c r="N425" s="959"/>
      <c r="O425" s="53">
        <f t="shared" si="75"/>
        <v>1</v>
      </c>
      <c r="P425" s="959"/>
      <c r="Q425" s="53">
        <f t="shared" si="76"/>
        <v>1</v>
      </c>
      <c r="R425" s="487">
        <f t="shared" si="77"/>
        <v>0</v>
      </c>
      <c r="S425" s="796">
        <f t="shared" si="78"/>
        <v>0</v>
      </c>
    </row>
    <row r="426" spans="1:19">
      <c r="A426" s="961"/>
      <c r="B426" s="137"/>
      <c r="C426" s="53">
        <f t="shared" si="69"/>
        <v>1</v>
      </c>
      <c r="D426" s="959"/>
      <c r="E426" s="53">
        <f t="shared" si="70"/>
        <v>1</v>
      </c>
      <c r="F426" s="959"/>
      <c r="G426" s="53">
        <f t="shared" si="71"/>
        <v>1</v>
      </c>
      <c r="H426" s="959"/>
      <c r="I426" s="53">
        <f t="shared" si="72"/>
        <v>1</v>
      </c>
      <c r="J426" s="959"/>
      <c r="K426" s="53">
        <f t="shared" si="73"/>
        <v>1</v>
      </c>
      <c r="L426" s="959"/>
      <c r="M426" s="53">
        <f t="shared" si="74"/>
        <v>1</v>
      </c>
      <c r="N426" s="959"/>
      <c r="O426" s="53">
        <f t="shared" si="75"/>
        <v>1</v>
      </c>
      <c r="P426" s="959"/>
      <c r="Q426" s="53">
        <f t="shared" si="76"/>
        <v>1</v>
      </c>
      <c r="R426" s="487">
        <f t="shared" si="77"/>
        <v>0</v>
      </c>
      <c r="S426" s="796">
        <f t="shared" si="78"/>
        <v>0</v>
      </c>
    </row>
    <row r="427" spans="1:19">
      <c r="A427" s="961"/>
      <c r="B427" s="137"/>
      <c r="C427" s="53">
        <f t="shared" si="69"/>
        <v>1</v>
      </c>
      <c r="D427" s="959"/>
      <c r="E427" s="53">
        <f t="shared" si="70"/>
        <v>1</v>
      </c>
      <c r="F427" s="959"/>
      <c r="G427" s="53">
        <f t="shared" si="71"/>
        <v>1</v>
      </c>
      <c r="H427" s="959"/>
      <c r="I427" s="53">
        <f t="shared" si="72"/>
        <v>1</v>
      </c>
      <c r="J427" s="959"/>
      <c r="K427" s="53">
        <f t="shared" si="73"/>
        <v>1</v>
      </c>
      <c r="L427" s="959"/>
      <c r="M427" s="53">
        <f t="shared" si="74"/>
        <v>1</v>
      </c>
      <c r="N427" s="959"/>
      <c r="O427" s="53">
        <f t="shared" si="75"/>
        <v>1</v>
      </c>
      <c r="P427" s="959"/>
      <c r="Q427" s="53">
        <f t="shared" si="76"/>
        <v>1</v>
      </c>
      <c r="R427" s="487">
        <f t="shared" si="77"/>
        <v>0</v>
      </c>
      <c r="S427" s="796">
        <f t="shared" si="78"/>
        <v>0</v>
      </c>
    </row>
    <row r="428" spans="1:19">
      <c r="A428" s="961"/>
      <c r="B428" s="137"/>
      <c r="C428" s="53">
        <f t="shared" si="69"/>
        <v>1</v>
      </c>
      <c r="D428" s="959"/>
      <c r="E428" s="53">
        <f t="shared" si="70"/>
        <v>1</v>
      </c>
      <c r="F428" s="959"/>
      <c r="G428" s="53">
        <f t="shared" si="71"/>
        <v>1</v>
      </c>
      <c r="H428" s="959"/>
      <c r="I428" s="53">
        <f t="shared" si="72"/>
        <v>1</v>
      </c>
      <c r="J428" s="959"/>
      <c r="K428" s="53">
        <f t="shared" si="73"/>
        <v>1</v>
      </c>
      <c r="L428" s="959"/>
      <c r="M428" s="53">
        <f t="shared" si="74"/>
        <v>1</v>
      </c>
      <c r="N428" s="959"/>
      <c r="O428" s="53">
        <f t="shared" si="75"/>
        <v>1</v>
      </c>
      <c r="P428" s="959"/>
      <c r="Q428" s="53">
        <f t="shared" si="76"/>
        <v>1</v>
      </c>
      <c r="R428" s="487">
        <f t="shared" si="77"/>
        <v>0</v>
      </c>
      <c r="S428" s="796">
        <f t="shared" si="78"/>
        <v>0</v>
      </c>
    </row>
    <row r="429" spans="1:19">
      <c r="A429" s="961"/>
      <c r="B429" s="137"/>
      <c r="C429" s="53">
        <f t="shared" si="69"/>
        <v>1</v>
      </c>
      <c r="D429" s="959"/>
      <c r="E429" s="53">
        <f t="shared" si="70"/>
        <v>1</v>
      </c>
      <c r="F429" s="959"/>
      <c r="G429" s="53">
        <f t="shared" si="71"/>
        <v>1</v>
      </c>
      <c r="H429" s="959"/>
      <c r="I429" s="53">
        <f t="shared" si="72"/>
        <v>1</v>
      </c>
      <c r="J429" s="959"/>
      <c r="K429" s="53">
        <f t="shared" si="73"/>
        <v>1</v>
      </c>
      <c r="L429" s="959"/>
      <c r="M429" s="53">
        <f t="shared" si="74"/>
        <v>1</v>
      </c>
      <c r="N429" s="959"/>
      <c r="O429" s="53">
        <f t="shared" si="75"/>
        <v>1</v>
      </c>
      <c r="P429" s="959"/>
      <c r="Q429" s="53">
        <f t="shared" si="76"/>
        <v>1</v>
      </c>
      <c r="R429" s="487">
        <f t="shared" si="77"/>
        <v>0</v>
      </c>
      <c r="S429" s="796">
        <f t="shared" si="78"/>
        <v>0</v>
      </c>
    </row>
    <row r="430" spans="1:19">
      <c r="A430" s="961"/>
      <c r="B430" s="137"/>
      <c r="C430" s="53">
        <f t="shared" si="69"/>
        <v>1</v>
      </c>
      <c r="D430" s="959"/>
      <c r="E430" s="53">
        <f t="shared" si="70"/>
        <v>1</v>
      </c>
      <c r="F430" s="959"/>
      <c r="G430" s="53">
        <f t="shared" si="71"/>
        <v>1</v>
      </c>
      <c r="H430" s="959"/>
      <c r="I430" s="53">
        <f t="shared" si="72"/>
        <v>1</v>
      </c>
      <c r="J430" s="959"/>
      <c r="K430" s="53">
        <f t="shared" si="73"/>
        <v>1</v>
      </c>
      <c r="L430" s="959"/>
      <c r="M430" s="53">
        <f t="shared" si="74"/>
        <v>1</v>
      </c>
      <c r="N430" s="959"/>
      <c r="O430" s="53">
        <f t="shared" si="75"/>
        <v>1</v>
      </c>
      <c r="P430" s="959"/>
      <c r="Q430" s="53">
        <f t="shared" si="76"/>
        <v>1</v>
      </c>
      <c r="R430" s="487">
        <f t="shared" si="77"/>
        <v>0</v>
      </c>
      <c r="S430" s="796">
        <f t="shared" si="78"/>
        <v>0</v>
      </c>
    </row>
    <row r="431" spans="1:19">
      <c r="A431" s="961"/>
      <c r="B431" s="137"/>
      <c r="C431" s="53">
        <f t="shared" si="69"/>
        <v>1</v>
      </c>
      <c r="D431" s="959"/>
      <c r="E431" s="53">
        <f t="shared" si="70"/>
        <v>1</v>
      </c>
      <c r="F431" s="959"/>
      <c r="G431" s="53">
        <f t="shared" si="71"/>
        <v>1</v>
      </c>
      <c r="H431" s="959"/>
      <c r="I431" s="53">
        <f t="shared" si="72"/>
        <v>1</v>
      </c>
      <c r="J431" s="959"/>
      <c r="K431" s="53">
        <f t="shared" si="73"/>
        <v>1</v>
      </c>
      <c r="L431" s="959"/>
      <c r="M431" s="53">
        <f t="shared" si="74"/>
        <v>1</v>
      </c>
      <c r="N431" s="959"/>
      <c r="O431" s="53">
        <f t="shared" si="75"/>
        <v>1</v>
      </c>
      <c r="P431" s="959"/>
      <c r="Q431" s="53">
        <f t="shared" si="76"/>
        <v>1</v>
      </c>
      <c r="R431" s="487">
        <f t="shared" si="77"/>
        <v>0</v>
      </c>
      <c r="S431" s="796">
        <f t="shared" si="78"/>
        <v>0</v>
      </c>
    </row>
    <row r="432" spans="1:19">
      <c r="A432" s="961"/>
      <c r="B432" s="137"/>
      <c r="C432" s="53">
        <f t="shared" si="69"/>
        <v>1</v>
      </c>
      <c r="D432" s="959"/>
      <c r="E432" s="53">
        <f t="shared" si="70"/>
        <v>1</v>
      </c>
      <c r="F432" s="959"/>
      <c r="G432" s="53">
        <f t="shared" si="71"/>
        <v>1</v>
      </c>
      <c r="H432" s="959"/>
      <c r="I432" s="53">
        <f t="shared" si="72"/>
        <v>1</v>
      </c>
      <c r="J432" s="959"/>
      <c r="K432" s="53">
        <f t="shared" si="73"/>
        <v>1</v>
      </c>
      <c r="L432" s="959"/>
      <c r="M432" s="53">
        <f t="shared" si="74"/>
        <v>1</v>
      </c>
      <c r="N432" s="959"/>
      <c r="O432" s="53">
        <f t="shared" si="75"/>
        <v>1</v>
      </c>
      <c r="P432" s="959"/>
      <c r="Q432" s="53">
        <f t="shared" si="76"/>
        <v>1</v>
      </c>
      <c r="R432" s="487">
        <f t="shared" si="77"/>
        <v>0</v>
      </c>
      <c r="S432" s="796">
        <f t="shared" si="78"/>
        <v>0</v>
      </c>
    </row>
    <row r="433" spans="1:19">
      <c r="A433" s="961"/>
      <c r="B433" s="137"/>
      <c r="C433" s="53">
        <f t="shared" si="69"/>
        <v>1</v>
      </c>
      <c r="D433" s="959"/>
      <c r="E433" s="53">
        <f t="shared" si="70"/>
        <v>1</v>
      </c>
      <c r="F433" s="959"/>
      <c r="G433" s="53">
        <f t="shared" si="71"/>
        <v>1</v>
      </c>
      <c r="H433" s="959"/>
      <c r="I433" s="53">
        <f t="shared" si="72"/>
        <v>1</v>
      </c>
      <c r="J433" s="959"/>
      <c r="K433" s="53">
        <f t="shared" si="73"/>
        <v>1</v>
      </c>
      <c r="L433" s="959"/>
      <c r="M433" s="53">
        <f t="shared" si="74"/>
        <v>1</v>
      </c>
      <c r="N433" s="959"/>
      <c r="O433" s="53">
        <f t="shared" si="75"/>
        <v>1</v>
      </c>
      <c r="P433" s="959"/>
      <c r="Q433" s="53">
        <f t="shared" si="76"/>
        <v>1</v>
      </c>
      <c r="R433" s="487">
        <f t="shared" si="77"/>
        <v>0</v>
      </c>
      <c r="S433" s="796">
        <f t="shared" si="78"/>
        <v>0</v>
      </c>
    </row>
    <row r="434" spans="1:19">
      <c r="A434" s="961"/>
      <c r="B434" s="137"/>
      <c r="C434" s="53">
        <f t="shared" si="69"/>
        <v>1</v>
      </c>
      <c r="D434" s="959"/>
      <c r="E434" s="53">
        <f t="shared" si="70"/>
        <v>1</v>
      </c>
      <c r="F434" s="959"/>
      <c r="G434" s="53">
        <f t="shared" si="71"/>
        <v>1</v>
      </c>
      <c r="H434" s="959"/>
      <c r="I434" s="53">
        <f t="shared" si="72"/>
        <v>1</v>
      </c>
      <c r="J434" s="959"/>
      <c r="K434" s="53">
        <f t="shared" si="73"/>
        <v>1</v>
      </c>
      <c r="L434" s="959"/>
      <c r="M434" s="53">
        <f t="shared" si="74"/>
        <v>1</v>
      </c>
      <c r="N434" s="959"/>
      <c r="O434" s="53">
        <f t="shared" si="75"/>
        <v>1</v>
      </c>
      <c r="P434" s="959"/>
      <c r="Q434" s="53">
        <f t="shared" si="76"/>
        <v>1</v>
      </c>
      <c r="R434" s="487">
        <f t="shared" si="77"/>
        <v>0</v>
      </c>
      <c r="S434" s="796">
        <f t="shared" si="78"/>
        <v>0</v>
      </c>
    </row>
    <row r="435" spans="1:19">
      <c r="A435" s="961"/>
      <c r="B435" s="137"/>
      <c r="C435" s="53">
        <f t="shared" si="69"/>
        <v>1</v>
      </c>
      <c r="D435" s="959"/>
      <c r="E435" s="53">
        <f t="shared" si="70"/>
        <v>1</v>
      </c>
      <c r="F435" s="959"/>
      <c r="G435" s="53">
        <f t="shared" si="71"/>
        <v>1</v>
      </c>
      <c r="H435" s="959"/>
      <c r="I435" s="53">
        <f t="shared" si="72"/>
        <v>1</v>
      </c>
      <c r="J435" s="959"/>
      <c r="K435" s="53">
        <f t="shared" si="73"/>
        <v>1</v>
      </c>
      <c r="L435" s="959"/>
      <c r="M435" s="53">
        <f t="shared" si="74"/>
        <v>1</v>
      </c>
      <c r="N435" s="959"/>
      <c r="O435" s="53">
        <f t="shared" si="75"/>
        <v>1</v>
      </c>
      <c r="P435" s="959"/>
      <c r="Q435" s="53">
        <f t="shared" si="76"/>
        <v>1</v>
      </c>
      <c r="R435" s="487">
        <f t="shared" si="77"/>
        <v>0</v>
      </c>
      <c r="S435" s="796">
        <f t="shared" si="78"/>
        <v>0</v>
      </c>
    </row>
    <row r="436" spans="1:19">
      <c r="A436" s="961"/>
      <c r="B436" s="137"/>
      <c r="C436" s="53">
        <f t="shared" si="69"/>
        <v>1</v>
      </c>
      <c r="D436" s="959"/>
      <c r="E436" s="53">
        <f t="shared" si="70"/>
        <v>1</v>
      </c>
      <c r="F436" s="959"/>
      <c r="G436" s="53">
        <f t="shared" si="71"/>
        <v>1</v>
      </c>
      <c r="H436" s="959"/>
      <c r="I436" s="53">
        <f t="shared" si="72"/>
        <v>1</v>
      </c>
      <c r="J436" s="959"/>
      <c r="K436" s="53">
        <f t="shared" si="73"/>
        <v>1</v>
      </c>
      <c r="L436" s="959"/>
      <c r="M436" s="53">
        <f t="shared" si="74"/>
        <v>1</v>
      </c>
      <c r="N436" s="959"/>
      <c r="O436" s="53">
        <f t="shared" si="75"/>
        <v>1</v>
      </c>
      <c r="P436" s="959"/>
      <c r="Q436" s="53">
        <f t="shared" si="76"/>
        <v>1</v>
      </c>
      <c r="R436" s="487">
        <f t="shared" si="77"/>
        <v>0</v>
      </c>
      <c r="S436" s="796">
        <f t="shared" si="78"/>
        <v>0</v>
      </c>
    </row>
    <row r="437" spans="1:19">
      <c r="A437" s="961"/>
      <c r="B437" s="137"/>
      <c r="C437" s="53">
        <f t="shared" si="69"/>
        <v>1</v>
      </c>
      <c r="D437" s="959"/>
      <c r="E437" s="53">
        <f t="shared" si="70"/>
        <v>1</v>
      </c>
      <c r="F437" s="959"/>
      <c r="G437" s="53">
        <f t="shared" si="71"/>
        <v>1</v>
      </c>
      <c r="H437" s="959"/>
      <c r="I437" s="53">
        <f t="shared" si="72"/>
        <v>1</v>
      </c>
      <c r="J437" s="959"/>
      <c r="K437" s="53">
        <f t="shared" si="73"/>
        <v>1</v>
      </c>
      <c r="L437" s="959"/>
      <c r="M437" s="53">
        <f t="shared" si="74"/>
        <v>1</v>
      </c>
      <c r="N437" s="959"/>
      <c r="O437" s="53">
        <f t="shared" si="75"/>
        <v>1</v>
      </c>
      <c r="P437" s="959"/>
      <c r="Q437" s="53">
        <f t="shared" si="76"/>
        <v>1</v>
      </c>
      <c r="R437" s="487">
        <f t="shared" si="77"/>
        <v>0</v>
      </c>
      <c r="S437" s="796">
        <f t="shared" si="78"/>
        <v>0</v>
      </c>
    </row>
    <row r="438" spans="1:19">
      <c r="A438" s="961"/>
      <c r="B438" s="137"/>
      <c r="C438" s="53">
        <f t="shared" si="69"/>
        <v>1</v>
      </c>
      <c r="D438" s="959"/>
      <c r="E438" s="53">
        <f t="shared" si="70"/>
        <v>1</v>
      </c>
      <c r="F438" s="959"/>
      <c r="G438" s="53">
        <f t="shared" si="71"/>
        <v>1</v>
      </c>
      <c r="H438" s="959"/>
      <c r="I438" s="53">
        <f t="shared" si="72"/>
        <v>1</v>
      </c>
      <c r="J438" s="959"/>
      <c r="K438" s="53">
        <f t="shared" si="73"/>
        <v>1</v>
      </c>
      <c r="L438" s="959"/>
      <c r="M438" s="53">
        <f t="shared" si="74"/>
        <v>1</v>
      </c>
      <c r="N438" s="959"/>
      <c r="O438" s="53">
        <f t="shared" si="75"/>
        <v>1</v>
      </c>
      <c r="P438" s="959"/>
      <c r="Q438" s="53">
        <f t="shared" si="76"/>
        <v>1</v>
      </c>
      <c r="R438" s="487">
        <f t="shared" si="77"/>
        <v>0</v>
      </c>
      <c r="S438" s="796">
        <f t="shared" si="78"/>
        <v>0</v>
      </c>
    </row>
    <row r="439" spans="1:19">
      <c r="A439" s="961"/>
      <c r="B439" s="137"/>
      <c r="C439" s="53">
        <f t="shared" si="69"/>
        <v>1</v>
      </c>
      <c r="D439" s="959"/>
      <c r="E439" s="53">
        <f t="shared" si="70"/>
        <v>1</v>
      </c>
      <c r="F439" s="959"/>
      <c r="G439" s="53">
        <f t="shared" si="71"/>
        <v>1</v>
      </c>
      <c r="H439" s="959"/>
      <c r="I439" s="53">
        <f t="shared" si="72"/>
        <v>1</v>
      </c>
      <c r="J439" s="959"/>
      <c r="K439" s="53">
        <f t="shared" si="73"/>
        <v>1</v>
      </c>
      <c r="L439" s="959"/>
      <c r="M439" s="53">
        <f t="shared" si="74"/>
        <v>1</v>
      </c>
      <c r="N439" s="959"/>
      <c r="O439" s="53">
        <f t="shared" si="75"/>
        <v>1</v>
      </c>
      <c r="P439" s="959"/>
      <c r="Q439" s="53">
        <f t="shared" si="76"/>
        <v>1</v>
      </c>
      <c r="R439" s="487">
        <f t="shared" si="77"/>
        <v>0</v>
      </c>
      <c r="S439" s="796">
        <f t="shared" si="78"/>
        <v>0</v>
      </c>
    </row>
    <row r="440" spans="1:19">
      <c r="A440" s="961"/>
      <c r="B440" s="137"/>
      <c r="C440" s="53">
        <f t="shared" si="69"/>
        <v>1</v>
      </c>
      <c r="D440" s="959"/>
      <c r="E440" s="53">
        <f t="shared" si="70"/>
        <v>1</v>
      </c>
      <c r="F440" s="959"/>
      <c r="G440" s="53">
        <f t="shared" si="71"/>
        <v>1</v>
      </c>
      <c r="H440" s="959"/>
      <c r="I440" s="53">
        <f t="shared" si="72"/>
        <v>1</v>
      </c>
      <c r="J440" s="959"/>
      <c r="K440" s="53">
        <f t="shared" si="73"/>
        <v>1</v>
      </c>
      <c r="L440" s="959"/>
      <c r="M440" s="53">
        <f t="shared" si="74"/>
        <v>1</v>
      </c>
      <c r="N440" s="959"/>
      <c r="O440" s="53">
        <f t="shared" si="75"/>
        <v>1</v>
      </c>
      <c r="P440" s="959"/>
      <c r="Q440" s="53">
        <f t="shared" si="76"/>
        <v>1</v>
      </c>
      <c r="R440" s="487">
        <f t="shared" si="77"/>
        <v>0</v>
      </c>
      <c r="S440" s="796">
        <f t="shared" si="78"/>
        <v>0</v>
      </c>
    </row>
    <row r="441" spans="1:19">
      <c r="A441" s="961"/>
      <c r="B441" s="137"/>
      <c r="C441" s="53">
        <f t="shared" si="69"/>
        <v>1</v>
      </c>
      <c r="D441" s="959"/>
      <c r="E441" s="53">
        <f t="shared" si="70"/>
        <v>1</v>
      </c>
      <c r="F441" s="959"/>
      <c r="G441" s="53">
        <f t="shared" si="71"/>
        <v>1</v>
      </c>
      <c r="H441" s="959"/>
      <c r="I441" s="53">
        <f t="shared" si="72"/>
        <v>1</v>
      </c>
      <c r="J441" s="959"/>
      <c r="K441" s="53">
        <f t="shared" si="73"/>
        <v>1</v>
      </c>
      <c r="L441" s="959"/>
      <c r="M441" s="53">
        <f t="shared" si="74"/>
        <v>1</v>
      </c>
      <c r="N441" s="959"/>
      <c r="O441" s="53">
        <f t="shared" si="75"/>
        <v>1</v>
      </c>
      <c r="P441" s="959"/>
      <c r="Q441" s="53">
        <f t="shared" si="76"/>
        <v>1</v>
      </c>
      <c r="R441" s="487">
        <f t="shared" si="77"/>
        <v>0</v>
      </c>
      <c r="S441" s="796">
        <f t="shared" si="78"/>
        <v>0</v>
      </c>
    </row>
    <row r="442" spans="1:19">
      <c r="A442" s="961"/>
      <c r="B442" s="137"/>
      <c r="C442" s="53">
        <f t="shared" si="69"/>
        <v>1</v>
      </c>
      <c r="D442" s="959"/>
      <c r="E442" s="53">
        <f t="shared" si="70"/>
        <v>1</v>
      </c>
      <c r="F442" s="959"/>
      <c r="G442" s="53">
        <f t="shared" si="71"/>
        <v>1</v>
      </c>
      <c r="H442" s="959"/>
      <c r="I442" s="53">
        <f t="shared" si="72"/>
        <v>1</v>
      </c>
      <c r="J442" s="959"/>
      <c r="K442" s="53">
        <f t="shared" si="73"/>
        <v>1</v>
      </c>
      <c r="L442" s="959"/>
      <c r="M442" s="53">
        <f t="shared" si="74"/>
        <v>1</v>
      </c>
      <c r="N442" s="959"/>
      <c r="O442" s="53">
        <f t="shared" si="75"/>
        <v>1</v>
      </c>
      <c r="P442" s="959"/>
      <c r="Q442" s="53">
        <f t="shared" si="76"/>
        <v>1</v>
      </c>
      <c r="R442" s="487">
        <f t="shared" si="77"/>
        <v>0</v>
      </c>
      <c r="S442" s="796">
        <f t="shared" si="78"/>
        <v>0</v>
      </c>
    </row>
    <row r="443" spans="1:19">
      <c r="A443" s="961"/>
      <c r="B443" s="137"/>
      <c r="C443" s="53">
        <f t="shared" si="69"/>
        <v>1</v>
      </c>
      <c r="D443" s="959"/>
      <c r="E443" s="53">
        <f t="shared" si="70"/>
        <v>1</v>
      </c>
      <c r="F443" s="959"/>
      <c r="G443" s="53">
        <f t="shared" si="71"/>
        <v>1</v>
      </c>
      <c r="H443" s="959"/>
      <c r="I443" s="53">
        <f t="shared" si="72"/>
        <v>1</v>
      </c>
      <c r="J443" s="959"/>
      <c r="K443" s="53">
        <f t="shared" si="73"/>
        <v>1</v>
      </c>
      <c r="L443" s="959"/>
      <c r="M443" s="53">
        <f t="shared" si="74"/>
        <v>1</v>
      </c>
      <c r="N443" s="959"/>
      <c r="O443" s="53">
        <f t="shared" si="75"/>
        <v>1</v>
      </c>
      <c r="P443" s="959"/>
      <c r="Q443" s="53">
        <f t="shared" si="76"/>
        <v>1</v>
      </c>
      <c r="R443" s="487">
        <f t="shared" si="77"/>
        <v>0</v>
      </c>
      <c r="S443" s="796">
        <f t="shared" si="78"/>
        <v>0</v>
      </c>
    </row>
    <row r="444" spans="1:19">
      <c r="A444" s="961"/>
      <c r="B444" s="137"/>
      <c r="C444" s="53">
        <f t="shared" si="69"/>
        <v>1</v>
      </c>
      <c r="D444" s="959"/>
      <c r="E444" s="53">
        <f t="shared" si="70"/>
        <v>1</v>
      </c>
      <c r="F444" s="959"/>
      <c r="G444" s="53">
        <f t="shared" si="71"/>
        <v>1</v>
      </c>
      <c r="H444" s="959"/>
      <c r="I444" s="53">
        <f t="shared" si="72"/>
        <v>1</v>
      </c>
      <c r="J444" s="959"/>
      <c r="K444" s="53">
        <f t="shared" si="73"/>
        <v>1</v>
      </c>
      <c r="L444" s="959"/>
      <c r="M444" s="53">
        <f t="shared" si="74"/>
        <v>1</v>
      </c>
      <c r="N444" s="959"/>
      <c r="O444" s="53">
        <f t="shared" si="75"/>
        <v>1</v>
      </c>
      <c r="P444" s="959"/>
      <c r="Q444" s="53">
        <f t="shared" si="76"/>
        <v>1</v>
      </c>
      <c r="R444" s="487">
        <f t="shared" si="77"/>
        <v>0</v>
      </c>
      <c r="S444" s="796">
        <f t="shared" si="78"/>
        <v>0</v>
      </c>
    </row>
    <row r="445" spans="1:19">
      <c r="A445" s="961"/>
      <c r="B445" s="137"/>
      <c r="C445" s="53">
        <f t="shared" si="69"/>
        <v>1</v>
      </c>
      <c r="D445" s="959"/>
      <c r="E445" s="53">
        <f t="shared" si="70"/>
        <v>1</v>
      </c>
      <c r="F445" s="959"/>
      <c r="G445" s="53">
        <f t="shared" si="71"/>
        <v>1</v>
      </c>
      <c r="H445" s="959"/>
      <c r="I445" s="53">
        <f t="shared" si="72"/>
        <v>1</v>
      </c>
      <c r="J445" s="959"/>
      <c r="K445" s="53">
        <f t="shared" si="73"/>
        <v>1</v>
      </c>
      <c r="L445" s="959"/>
      <c r="M445" s="53">
        <f t="shared" si="74"/>
        <v>1</v>
      </c>
      <c r="N445" s="959"/>
      <c r="O445" s="53">
        <f t="shared" si="75"/>
        <v>1</v>
      </c>
      <c r="P445" s="959"/>
      <c r="Q445" s="53">
        <f t="shared" si="76"/>
        <v>1</v>
      </c>
      <c r="R445" s="487">
        <f t="shared" si="77"/>
        <v>0</v>
      </c>
      <c r="S445" s="796">
        <f t="shared" si="78"/>
        <v>0</v>
      </c>
    </row>
    <row r="446" spans="1:19">
      <c r="A446" s="961"/>
      <c r="B446" s="137"/>
      <c r="C446" s="53">
        <f t="shared" si="69"/>
        <v>1</v>
      </c>
      <c r="D446" s="959"/>
      <c r="E446" s="53">
        <f t="shared" si="70"/>
        <v>1</v>
      </c>
      <c r="F446" s="959"/>
      <c r="G446" s="53">
        <f t="shared" si="71"/>
        <v>1</v>
      </c>
      <c r="H446" s="959"/>
      <c r="I446" s="53">
        <f t="shared" si="72"/>
        <v>1</v>
      </c>
      <c r="J446" s="959"/>
      <c r="K446" s="53">
        <f t="shared" si="73"/>
        <v>1</v>
      </c>
      <c r="L446" s="959"/>
      <c r="M446" s="53">
        <f t="shared" si="74"/>
        <v>1</v>
      </c>
      <c r="N446" s="959"/>
      <c r="O446" s="53">
        <f t="shared" si="75"/>
        <v>1</v>
      </c>
      <c r="P446" s="959"/>
      <c r="Q446" s="53">
        <f t="shared" si="76"/>
        <v>1</v>
      </c>
      <c r="R446" s="487">
        <f t="shared" si="77"/>
        <v>0</v>
      </c>
      <c r="S446" s="796">
        <f t="shared" si="78"/>
        <v>0</v>
      </c>
    </row>
    <row r="447" spans="1:19">
      <c r="A447" s="961"/>
      <c r="B447" s="137"/>
      <c r="C447" s="53">
        <f t="shared" si="69"/>
        <v>1</v>
      </c>
      <c r="D447" s="959"/>
      <c r="E447" s="53">
        <f t="shared" si="70"/>
        <v>1</v>
      </c>
      <c r="F447" s="959"/>
      <c r="G447" s="53">
        <f t="shared" si="71"/>
        <v>1</v>
      </c>
      <c r="H447" s="959"/>
      <c r="I447" s="53">
        <f t="shared" si="72"/>
        <v>1</v>
      </c>
      <c r="J447" s="959"/>
      <c r="K447" s="53">
        <f t="shared" si="73"/>
        <v>1</v>
      </c>
      <c r="L447" s="959"/>
      <c r="M447" s="53">
        <f t="shared" si="74"/>
        <v>1</v>
      </c>
      <c r="N447" s="959"/>
      <c r="O447" s="53">
        <f t="shared" si="75"/>
        <v>1</v>
      </c>
      <c r="P447" s="959"/>
      <c r="Q447" s="53">
        <f t="shared" si="76"/>
        <v>1</v>
      </c>
      <c r="R447" s="487">
        <f t="shared" si="77"/>
        <v>0</v>
      </c>
      <c r="S447" s="796">
        <f t="shared" si="78"/>
        <v>0</v>
      </c>
    </row>
    <row r="448" spans="1:19">
      <c r="A448" s="961"/>
      <c r="B448" s="137"/>
      <c r="C448" s="53">
        <f t="shared" si="69"/>
        <v>1</v>
      </c>
      <c r="D448" s="959"/>
      <c r="E448" s="53">
        <f t="shared" si="70"/>
        <v>1</v>
      </c>
      <c r="F448" s="959"/>
      <c r="G448" s="53">
        <f t="shared" si="71"/>
        <v>1</v>
      </c>
      <c r="H448" s="959"/>
      <c r="I448" s="53">
        <f t="shared" si="72"/>
        <v>1</v>
      </c>
      <c r="J448" s="959"/>
      <c r="K448" s="53">
        <f t="shared" si="73"/>
        <v>1</v>
      </c>
      <c r="L448" s="959"/>
      <c r="M448" s="53">
        <f t="shared" si="74"/>
        <v>1</v>
      </c>
      <c r="N448" s="959"/>
      <c r="O448" s="53">
        <f t="shared" si="75"/>
        <v>1</v>
      </c>
      <c r="P448" s="959"/>
      <c r="Q448" s="53">
        <f t="shared" si="76"/>
        <v>1</v>
      </c>
      <c r="R448" s="487">
        <f t="shared" si="77"/>
        <v>0</v>
      </c>
      <c r="S448" s="796">
        <f t="shared" si="78"/>
        <v>0</v>
      </c>
    </row>
    <row r="449" spans="1:19">
      <c r="A449" s="961"/>
      <c r="B449" s="137"/>
      <c r="C449" s="53">
        <f t="shared" si="69"/>
        <v>1</v>
      </c>
      <c r="D449" s="959"/>
      <c r="E449" s="53">
        <f t="shared" si="70"/>
        <v>1</v>
      </c>
      <c r="F449" s="959"/>
      <c r="G449" s="53">
        <f t="shared" si="71"/>
        <v>1</v>
      </c>
      <c r="H449" s="959"/>
      <c r="I449" s="53">
        <f t="shared" si="72"/>
        <v>1</v>
      </c>
      <c r="J449" s="959"/>
      <c r="K449" s="53">
        <f t="shared" si="73"/>
        <v>1</v>
      </c>
      <c r="L449" s="959"/>
      <c r="M449" s="53">
        <f t="shared" si="74"/>
        <v>1</v>
      </c>
      <c r="N449" s="959"/>
      <c r="O449" s="53">
        <f t="shared" si="75"/>
        <v>1</v>
      </c>
      <c r="P449" s="959"/>
      <c r="Q449" s="53">
        <f t="shared" si="76"/>
        <v>1</v>
      </c>
      <c r="R449" s="487">
        <f t="shared" si="77"/>
        <v>0</v>
      </c>
      <c r="S449" s="796">
        <f t="shared" si="78"/>
        <v>0</v>
      </c>
    </row>
    <row r="450" spans="1:19">
      <c r="A450" s="961"/>
      <c r="B450" s="137"/>
      <c r="C450" s="53">
        <f t="shared" si="69"/>
        <v>1</v>
      </c>
      <c r="D450" s="959"/>
      <c r="E450" s="53">
        <f t="shared" si="70"/>
        <v>1</v>
      </c>
      <c r="F450" s="959"/>
      <c r="G450" s="53">
        <f t="shared" si="71"/>
        <v>1</v>
      </c>
      <c r="H450" s="959"/>
      <c r="I450" s="53">
        <f t="shared" si="72"/>
        <v>1</v>
      </c>
      <c r="J450" s="959"/>
      <c r="K450" s="53">
        <f t="shared" si="73"/>
        <v>1</v>
      </c>
      <c r="L450" s="959"/>
      <c r="M450" s="53">
        <f t="shared" si="74"/>
        <v>1</v>
      </c>
      <c r="N450" s="959"/>
      <c r="O450" s="53">
        <f t="shared" si="75"/>
        <v>1</v>
      </c>
      <c r="P450" s="959"/>
      <c r="Q450" s="53">
        <f t="shared" si="76"/>
        <v>1</v>
      </c>
      <c r="R450" s="487">
        <f t="shared" si="77"/>
        <v>0</v>
      </c>
      <c r="S450" s="796">
        <f t="shared" si="78"/>
        <v>0</v>
      </c>
    </row>
    <row r="451" spans="1:19">
      <c r="A451" s="961"/>
      <c r="B451" s="137"/>
      <c r="C451" s="53">
        <f t="shared" si="69"/>
        <v>1</v>
      </c>
      <c r="D451" s="959"/>
      <c r="E451" s="53">
        <f t="shared" si="70"/>
        <v>1</v>
      </c>
      <c r="F451" s="959"/>
      <c r="G451" s="53">
        <f t="shared" si="71"/>
        <v>1</v>
      </c>
      <c r="H451" s="959"/>
      <c r="I451" s="53">
        <f t="shared" si="72"/>
        <v>1</v>
      </c>
      <c r="J451" s="959"/>
      <c r="K451" s="53">
        <f t="shared" si="73"/>
        <v>1</v>
      </c>
      <c r="L451" s="959"/>
      <c r="M451" s="53">
        <f t="shared" si="74"/>
        <v>1</v>
      </c>
      <c r="N451" s="959"/>
      <c r="O451" s="53">
        <f t="shared" si="75"/>
        <v>1</v>
      </c>
      <c r="P451" s="959"/>
      <c r="Q451" s="53">
        <f t="shared" si="76"/>
        <v>1</v>
      </c>
      <c r="R451" s="487">
        <f t="shared" si="77"/>
        <v>0</v>
      </c>
      <c r="S451" s="796">
        <f t="shared" si="78"/>
        <v>0</v>
      </c>
    </row>
    <row r="452" spans="1:19">
      <c r="A452" s="961"/>
      <c r="B452" s="137"/>
      <c r="C452" s="53">
        <f t="shared" si="69"/>
        <v>1</v>
      </c>
      <c r="D452" s="959"/>
      <c r="E452" s="53">
        <f t="shared" si="70"/>
        <v>1</v>
      </c>
      <c r="F452" s="959"/>
      <c r="G452" s="53">
        <f t="shared" si="71"/>
        <v>1</v>
      </c>
      <c r="H452" s="959"/>
      <c r="I452" s="53">
        <f t="shared" si="72"/>
        <v>1</v>
      </c>
      <c r="J452" s="959"/>
      <c r="K452" s="53">
        <f t="shared" si="73"/>
        <v>1</v>
      </c>
      <c r="L452" s="959"/>
      <c r="M452" s="53">
        <f t="shared" si="74"/>
        <v>1</v>
      </c>
      <c r="N452" s="959"/>
      <c r="O452" s="53">
        <f t="shared" si="75"/>
        <v>1</v>
      </c>
      <c r="P452" s="959"/>
      <c r="Q452" s="53">
        <f t="shared" si="76"/>
        <v>1</v>
      </c>
      <c r="R452" s="487">
        <f t="shared" si="77"/>
        <v>0</v>
      </c>
      <c r="S452" s="796">
        <f t="shared" si="78"/>
        <v>0</v>
      </c>
    </row>
    <row r="453" spans="1:19">
      <c r="A453" s="961"/>
      <c r="B453" s="137"/>
      <c r="C453" s="53">
        <f t="shared" si="69"/>
        <v>1</v>
      </c>
      <c r="D453" s="959"/>
      <c r="E453" s="53">
        <f t="shared" si="70"/>
        <v>1</v>
      </c>
      <c r="F453" s="959"/>
      <c r="G453" s="53">
        <f t="shared" si="71"/>
        <v>1</v>
      </c>
      <c r="H453" s="959"/>
      <c r="I453" s="53">
        <f t="shared" si="72"/>
        <v>1</v>
      </c>
      <c r="J453" s="959"/>
      <c r="K453" s="53">
        <f t="shared" si="73"/>
        <v>1</v>
      </c>
      <c r="L453" s="959"/>
      <c r="M453" s="53">
        <f t="shared" si="74"/>
        <v>1</v>
      </c>
      <c r="N453" s="959"/>
      <c r="O453" s="53">
        <f t="shared" si="75"/>
        <v>1</v>
      </c>
      <c r="P453" s="959"/>
      <c r="Q453" s="53">
        <f t="shared" si="76"/>
        <v>1</v>
      </c>
      <c r="R453" s="487">
        <f t="shared" si="77"/>
        <v>0</v>
      </c>
      <c r="S453" s="796">
        <f t="shared" si="78"/>
        <v>0</v>
      </c>
    </row>
    <row r="454" spans="1:19">
      <c r="A454" s="961"/>
      <c r="B454" s="137"/>
      <c r="C454" s="53">
        <f t="shared" si="69"/>
        <v>1</v>
      </c>
      <c r="D454" s="959"/>
      <c r="E454" s="53">
        <f t="shared" si="70"/>
        <v>1</v>
      </c>
      <c r="F454" s="959"/>
      <c r="G454" s="53">
        <f t="shared" si="71"/>
        <v>1</v>
      </c>
      <c r="H454" s="959"/>
      <c r="I454" s="53">
        <f t="shared" si="72"/>
        <v>1</v>
      </c>
      <c r="J454" s="959"/>
      <c r="K454" s="53">
        <f t="shared" si="73"/>
        <v>1</v>
      </c>
      <c r="L454" s="959"/>
      <c r="M454" s="53">
        <f t="shared" si="74"/>
        <v>1</v>
      </c>
      <c r="N454" s="959"/>
      <c r="O454" s="53">
        <f t="shared" si="75"/>
        <v>1</v>
      </c>
      <c r="P454" s="959"/>
      <c r="Q454" s="53">
        <f t="shared" si="76"/>
        <v>1</v>
      </c>
      <c r="R454" s="487">
        <f t="shared" si="77"/>
        <v>0</v>
      </c>
      <c r="S454" s="796">
        <f t="shared" si="78"/>
        <v>0</v>
      </c>
    </row>
    <row r="455" spans="1:19">
      <c r="A455" s="961"/>
      <c r="B455" s="137"/>
      <c r="C455" s="53">
        <f t="shared" si="69"/>
        <v>1</v>
      </c>
      <c r="D455" s="959"/>
      <c r="E455" s="53">
        <f t="shared" si="70"/>
        <v>1</v>
      </c>
      <c r="F455" s="959"/>
      <c r="G455" s="53">
        <f t="shared" si="71"/>
        <v>1</v>
      </c>
      <c r="H455" s="959"/>
      <c r="I455" s="53">
        <f t="shared" si="72"/>
        <v>1</v>
      </c>
      <c r="J455" s="959"/>
      <c r="K455" s="53">
        <f t="shared" si="73"/>
        <v>1</v>
      </c>
      <c r="L455" s="959"/>
      <c r="M455" s="53">
        <f t="shared" si="74"/>
        <v>1</v>
      </c>
      <c r="N455" s="959"/>
      <c r="O455" s="53">
        <f t="shared" si="75"/>
        <v>1</v>
      </c>
      <c r="P455" s="959"/>
      <c r="Q455" s="53">
        <f t="shared" si="76"/>
        <v>1</v>
      </c>
      <c r="R455" s="487">
        <f t="shared" si="77"/>
        <v>0</v>
      </c>
      <c r="S455" s="796">
        <f t="shared" si="78"/>
        <v>0</v>
      </c>
    </row>
    <row r="456" spans="1:19">
      <c r="A456" s="961"/>
      <c r="B456" s="137"/>
      <c r="C456" s="53">
        <f t="shared" si="69"/>
        <v>1</v>
      </c>
      <c r="D456" s="959"/>
      <c r="E456" s="53">
        <f t="shared" si="70"/>
        <v>1</v>
      </c>
      <c r="F456" s="959"/>
      <c r="G456" s="53">
        <f t="shared" si="71"/>
        <v>1</v>
      </c>
      <c r="H456" s="959"/>
      <c r="I456" s="53">
        <f t="shared" si="72"/>
        <v>1</v>
      </c>
      <c r="J456" s="959"/>
      <c r="K456" s="53">
        <f t="shared" si="73"/>
        <v>1</v>
      </c>
      <c r="L456" s="959"/>
      <c r="M456" s="53">
        <f t="shared" si="74"/>
        <v>1</v>
      </c>
      <c r="N456" s="959"/>
      <c r="O456" s="53">
        <f t="shared" si="75"/>
        <v>1</v>
      </c>
      <c r="P456" s="959"/>
      <c r="Q456" s="53">
        <f t="shared" si="76"/>
        <v>1</v>
      </c>
      <c r="R456" s="487">
        <f t="shared" si="77"/>
        <v>0</v>
      </c>
      <c r="S456" s="796">
        <f t="shared" si="78"/>
        <v>0</v>
      </c>
    </row>
    <row r="457" spans="1:19">
      <c r="A457" s="961"/>
      <c r="B457" s="137"/>
      <c r="C457" s="53">
        <f t="shared" si="69"/>
        <v>1</v>
      </c>
      <c r="D457" s="959"/>
      <c r="E457" s="53">
        <f t="shared" si="70"/>
        <v>1</v>
      </c>
      <c r="F457" s="959"/>
      <c r="G457" s="53">
        <f t="shared" si="71"/>
        <v>1</v>
      </c>
      <c r="H457" s="959"/>
      <c r="I457" s="53">
        <f t="shared" si="72"/>
        <v>1</v>
      </c>
      <c r="J457" s="959"/>
      <c r="K457" s="53">
        <f t="shared" si="73"/>
        <v>1</v>
      </c>
      <c r="L457" s="959"/>
      <c r="M457" s="53">
        <f t="shared" si="74"/>
        <v>1</v>
      </c>
      <c r="N457" s="959"/>
      <c r="O457" s="53">
        <f t="shared" si="75"/>
        <v>1</v>
      </c>
      <c r="P457" s="959"/>
      <c r="Q457" s="53">
        <f t="shared" si="76"/>
        <v>1</v>
      </c>
      <c r="R457" s="487">
        <f t="shared" si="77"/>
        <v>0</v>
      </c>
      <c r="S457" s="796">
        <f t="shared" si="78"/>
        <v>0</v>
      </c>
    </row>
    <row r="458" spans="1:19">
      <c r="A458" s="961"/>
      <c r="B458" s="137"/>
      <c r="C458" s="53">
        <f t="shared" si="69"/>
        <v>1</v>
      </c>
      <c r="D458" s="959"/>
      <c r="E458" s="53">
        <f t="shared" si="70"/>
        <v>1</v>
      </c>
      <c r="F458" s="959"/>
      <c r="G458" s="53">
        <f t="shared" si="71"/>
        <v>1</v>
      </c>
      <c r="H458" s="959"/>
      <c r="I458" s="53">
        <f t="shared" si="72"/>
        <v>1</v>
      </c>
      <c r="J458" s="959"/>
      <c r="K458" s="53">
        <f t="shared" si="73"/>
        <v>1</v>
      </c>
      <c r="L458" s="959"/>
      <c r="M458" s="53">
        <f t="shared" si="74"/>
        <v>1</v>
      </c>
      <c r="N458" s="959"/>
      <c r="O458" s="53">
        <f t="shared" si="75"/>
        <v>1</v>
      </c>
      <c r="P458" s="959"/>
      <c r="Q458" s="53">
        <f t="shared" si="76"/>
        <v>1</v>
      </c>
      <c r="R458" s="487">
        <f t="shared" si="77"/>
        <v>0</v>
      </c>
      <c r="S458" s="796">
        <f t="shared" si="78"/>
        <v>0</v>
      </c>
    </row>
    <row r="459" spans="1:19">
      <c r="A459" s="961"/>
      <c r="B459" s="137"/>
      <c r="C459" s="53">
        <f t="shared" si="69"/>
        <v>1</v>
      </c>
      <c r="D459" s="959"/>
      <c r="E459" s="53">
        <f t="shared" si="70"/>
        <v>1</v>
      </c>
      <c r="F459" s="959"/>
      <c r="G459" s="53">
        <f t="shared" si="71"/>
        <v>1</v>
      </c>
      <c r="H459" s="959"/>
      <c r="I459" s="53">
        <f t="shared" si="72"/>
        <v>1</v>
      </c>
      <c r="J459" s="959"/>
      <c r="K459" s="53">
        <f t="shared" si="73"/>
        <v>1</v>
      </c>
      <c r="L459" s="959"/>
      <c r="M459" s="53">
        <f t="shared" si="74"/>
        <v>1</v>
      </c>
      <c r="N459" s="959"/>
      <c r="O459" s="53">
        <f t="shared" si="75"/>
        <v>1</v>
      </c>
      <c r="P459" s="959"/>
      <c r="Q459" s="53">
        <f t="shared" si="76"/>
        <v>1</v>
      </c>
      <c r="R459" s="487">
        <f t="shared" si="77"/>
        <v>0</v>
      </c>
      <c r="S459" s="796">
        <f t="shared" si="78"/>
        <v>0</v>
      </c>
    </row>
    <row r="460" spans="1:19">
      <c r="A460" s="961"/>
      <c r="B460" s="137"/>
      <c r="C460" s="53">
        <f t="shared" si="69"/>
        <v>1</v>
      </c>
      <c r="D460" s="959"/>
      <c r="E460" s="53">
        <f t="shared" si="70"/>
        <v>1</v>
      </c>
      <c r="F460" s="959"/>
      <c r="G460" s="53">
        <f t="shared" si="71"/>
        <v>1</v>
      </c>
      <c r="H460" s="959"/>
      <c r="I460" s="53">
        <f t="shared" si="72"/>
        <v>1</v>
      </c>
      <c r="J460" s="959"/>
      <c r="K460" s="53">
        <f t="shared" si="73"/>
        <v>1</v>
      </c>
      <c r="L460" s="959"/>
      <c r="M460" s="53">
        <f t="shared" si="74"/>
        <v>1</v>
      </c>
      <c r="N460" s="959"/>
      <c r="O460" s="53">
        <f t="shared" si="75"/>
        <v>1</v>
      </c>
      <c r="P460" s="959"/>
      <c r="Q460" s="53">
        <f t="shared" si="76"/>
        <v>1</v>
      </c>
      <c r="R460" s="487">
        <f t="shared" si="77"/>
        <v>0</v>
      </c>
      <c r="S460" s="796">
        <f t="shared" si="78"/>
        <v>0</v>
      </c>
    </row>
    <row r="461" spans="1:19">
      <c r="A461" s="961"/>
      <c r="B461" s="137"/>
      <c r="C461" s="53">
        <f t="shared" si="69"/>
        <v>1</v>
      </c>
      <c r="D461" s="959"/>
      <c r="E461" s="53">
        <f t="shared" si="70"/>
        <v>1</v>
      </c>
      <c r="F461" s="959"/>
      <c r="G461" s="53">
        <f t="shared" si="71"/>
        <v>1</v>
      </c>
      <c r="H461" s="959"/>
      <c r="I461" s="53">
        <f t="shared" si="72"/>
        <v>1</v>
      </c>
      <c r="J461" s="959"/>
      <c r="K461" s="53">
        <f t="shared" si="73"/>
        <v>1</v>
      </c>
      <c r="L461" s="959"/>
      <c r="M461" s="53">
        <f t="shared" si="74"/>
        <v>1</v>
      </c>
      <c r="N461" s="959"/>
      <c r="O461" s="53">
        <f t="shared" si="75"/>
        <v>1</v>
      </c>
      <c r="P461" s="959"/>
      <c r="Q461" s="53">
        <f t="shared" si="76"/>
        <v>1</v>
      </c>
      <c r="R461" s="487">
        <f t="shared" si="77"/>
        <v>0</v>
      </c>
      <c r="S461" s="796">
        <f t="shared" si="78"/>
        <v>0</v>
      </c>
    </row>
    <row r="462" spans="1:19">
      <c r="A462" s="961"/>
      <c r="B462" s="137"/>
      <c r="C462" s="53">
        <f t="shared" si="69"/>
        <v>1</v>
      </c>
      <c r="D462" s="959"/>
      <c r="E462" s="53">
        <f t="shared" si="70"/>
        <v>1</v>
      </c>
      <c r="F462" s="959"/>
      <c r="G462" s="53">
        <f t="shared" si="71"/>
        <v>1</v>
      </c>
      <c r="H462" s="959"/>
      <c r="I462" s="53">
        <f t="shared" si="72"/>
        <v>1</v>
      </c>
      <c r="J462" s="959"/>
      <c r="K462" s="53">
        <f t="shared" si="73"/>
        <v>1</v>
      </c>
      <c r="L462" s="959"/>
      <c r="M462" s="53">
        <f t="shared" si="74"/>
        <v>1</v>
      </c>
      <c r="N462" s="959"/>
      <c r="O462" s="53">
        <f t="shared" si="75"/>
        <v>1</v>
      </c>
      <c r="P462" s="959"/>
      <c r="Q462" s="53">
        <f t="shared" si="76"/>
        <v>1</v>
      </c>
      <c r="R462" s="487">
        <f t="shared" si="77"/>
        <v>0</v>
      </c>
      <c r="S462" s="796">
        <f t="shared" si="78"/>
        <v>0</v>
      </c>
    </row>
    <row r="463" spans="1:19">
      <c r="A463" s="961"/>
      <c r="B463" s="137"/>
      <c r="C463" s="53">
        <f t="shared" si="69"/>
        <v>1</v>
      </c>
      <c r="D463" s="959"/>
      <c r="E463" s="53">
        <f t="shared" si="70"/>
        <v>1</v>
      </c>
      <c r="F463" s="959"/>
      <c r="G463" s="53">
        <f t="shared" si="71"/>
        <v>1</v>
      </c>
      <c r="H463" s="959"/>
      <c r="I463" s="53">
        <f t="shared" si="72"/>
        <v>1</v>
      </c>
      <c r="J463" s="959"/>
      <c r="K463" s="53">
        <f t="shared" si="73"/>
        <v>1</v>
      </c>
      <c r="L463" s="959"/>
      <c r="M463" s="53">
        <f t="shared" si="74"/>
        <v>1</v>
      </c>
      <c r="N463" s="959"/>
      <c r="O463" s="53">
        <f t="shared" si="75"/>
        <v>1</v>
      </c>
      <c r="P463" s="959"/>
      <c r="Q463" s="53">
        <f t="shared" si="76"/>
        <v>1</v>
      </c>
      <c r="R463" s="487">
        <f t="shared" si="77"/>
        <v>0</v>
      </c>
      <c r="S463" s="796">
        <f t="shared" si="78"/>
        <v>0</v>
      </c>
    </row>
    <row r="464" spans="1:19">
      <c r="A464" s="961"/>
      <c r="B464" s="137"/>
      <c r="C464" s="53">
        <f t="shared" si="69"/>
        <v>1</v>
      </c>
      <c r="D464" s="959"/>
      <c r="E464" s="53">
        <f t="shared" si="70"/>
        <v>1</v>
      </c>
      <c r="F464" s="959"/>
      <c r="G464" s="53">
        <f t="shared" si="71"/>
        <v>1</v>
      </c>
      <c r="H464" s="959"/>
      <c r="I464" s="53">
        <f t="shared" si="72"/>
        <v>1</v>
      </c>
      <c r="J464" s="959"/>
      <c r="K464" s="53">
        <f t="shared" si="73"/>
        <v>1</v>
      </c>
      <c r="L464" s="959"/>
      <c r="M464" s="53">
        <f t="shared" si="74"/>
        <v>1</v>
      </c>
      <c r="N464" s="959"/>
      <c r="O464" s="53">
        <f t="shared" si="75"/>
        <v>1</v>
      </c>
      <c r="P464" s="959"/>
      <c r="Q464" s="53">
        <f t="shared" si="76"/>
        <v>1</v>
      </c>
      <c r="R464" s="487">
        <f t="shared" si="77"/>
        <v>0</v>
      </c>
      <c r="S464" s="796">
        <f t="shared" si="78"/>
        <v>0</v>
      </c>
    </row>
    <row r="465" spans="1:19">
      <c r="A465" s="961"/>
      <c r="B465" s="137"/>
      <c r="C465" s="53">
        <f t="shared" si="69"/>
        <v>1</v>
      </c>
      <c r="D465" s="959"/>
      <c r="E465" s="53">
        <f t="shared" si="70"/>
        <v>1</v>
      </c>
      <c r="F465" s="959"/>
      <c r="G465" s="53">
        <f t="shared" si="71"/>
        <v>1</v>
      </c>
      <c r="H465" s="959"/>
      <c r="I465" s="53">
        <f t="shared" si="72"/>
        <v>1</v>
      </c>
      <c r="J465" s="959"/>
      <c r="K465" s="53">
        <f t="shared" si="73"/>
        <v>1</v>
      </c>
      <c r="L465" s="959"/>
      <c r="M465" s="53">
        <f t="shared" si="74"/>
        <v>1</v>
      </c>
      <c r="N465" s="959"/>
      <c r="O465" s="53">
        <f t="shared" si="75"/>
        <v>1</v>
      </c>
      <c r="P465" s="959"/>
      <c r="Q465" s="53">
        <f t="shared" si="76"/>
        <v>1</v>
      </c>
      <c r="R465" s="487">
        <f t="shared" si="77"/>
        <v>0</v>
      </c>
      <c r="S465" s="796">
        <f t="shared" si="78"/>
        <v>0</v>
      </c>
    </row>
    <row r="466" spans="1:19">
      <c r="A466" s="961"/>
      <c r="B466" s="137"/>
      <c r="C466" s="53">
        <f t="shared" si="69"/>
        <v>1</v>
      </c>
      <c r="D466" s="959"/>
      <c r="E466" s="53">
        <f t="shared" si="70"/>
        <v>1</v>
      </c>
      <c r="F466" s="959"/>
      <c r="G466" s="53">
        <f t="shared" si="71"/>
        <v>1</v>
      </c>
      <c r="H466" s="959"/>
      <c r="I466" s="53">
        <f t="shared" si="72"/>
        <v>1</v>
      </c>
      <c r="J466" s="959"/>
      <c r="K466" s="53">
        <f t="shared" si="73"/>
        <v>1</v>
      </c>
      <c r="L466" s="959"/>
      <c r="M466" s="53">
        <f t="shared" si="74"/>
        <v>1</v>
      </c>
      <c r="N466" s="959"/>
      <c r="O466" s="53">
        <f t="shared" si="75"/>
        <v>1</v>
      </c>
      <c r="P466" s="959"/>
      <c r="Q466" s="53">
        <f t="shared" si="76"/>
        <v>1</v>
      </c>
      <c r="R466" s="487">
        <f t="shared" si="77"/>
        <v>0</v>
      </c>
      <c r="S466" s="796">
        <f t="shared" si="78"/>
        <v>0</v>
      </c>
    </row>
    <row r="467" spans="1:19">
      <c r="A467" s="961"/>
      <c r="B467" s="137"/>
      <c r="C467" s="53">
        <f t="shared" si="69"/>
        <v>1</v>
      </c>
      <c r="D467" s="959"/>
      <c r="E467" s="53">
        <f t="shared" si="70"/>
        <v>1</v>
      </c>
      <c r="F467" s="959"/>
      <c r="G467" s="53">
        <f t="shared" si="71"/>
        <v>1</v>
      </c>
      <c r="H467" s="959"/>
      <c r="I467" s="53">
        <f t="shared" si="72"/>
        <v>1</v>
      </c>
      <c r="J467" s="959"/>
      <c r="K467" s="53">
        <f t="shared" si="73"/>
        <v>1</v>
      </c>
      <c r="L467" s="959"/>
      <c r="M467" s="53">
        <f t="shared" si="74"/>
        <v>1</v>
      </c>
      <c r="N467" s="959"/>
      <c r="O467" s="53">
        <f t="shared" si="75"/>
        <v>1</v>
      </c>
      <c r="P467" s="959"/>
      <c r="Q467" s="53">
        <f t="shared" si="76"/>
        <v>1</v>
      </c>
      <c r="R467" s="487">
        <f t="shared" si="77"/>
        <v>0</v>
      </c>
      <c r="S467" s="796">
        <f t="shared" si="78"/>
        <v>0</v>
      </c>
    </row>
    <row r="468" spans="1:19">
      <c r="A468" s="961"/>
      <c r="B468" s="137"/>
      <c r="C468" s="53">
        <f t="shared" si="69"/>
        <v>1</v>
      </c>
      <c r="D468" s="959"/>
      <c r="E468" s="53">
        <f t="shared" si="70"/>
        <v>1</v>
      </c>
      <c r="F468" s="959"/>
      <c r="G468" s="53">
        <f t="shared" si="71"/>
        <v>1</v>
      </c>
      <c r="H468" s="959"/>
      <c r="I468" s="53">
        <f t="shared" si="72"/>
        <v>1</v>
      </c>
      <c r="J468" s="959"/>
      <c r="K468" s="53">
        <f t="shared" si="73"/>
        <v>1</v>
      </c>
      <c r="L468" s="959"/>
      <c r="M468" s="53">
        <f t="shared" si="74"/>
        <v>1</v>
      </c>
      <c r="N468" s="959"/>
      <c r="O468" s="53">
        <f t="shared" si="75"/>
        <v>1</v>
      </c>
      <c r="P468" s="959"/>
      <c r="Q468" s="53">
        <f t="shared" si="76"/>
        <v>1</v>
      </c>
      <c r="R468" s="487">
        <f t="shared" si="77"/>
        <v>0</v>
      </c>
      <c r="S468" s="796">
        <f t="shared" ref="S468:S497" si="79">ROUND(R468*B468/10000,0)</f>
        <v>0</v>
      </c>
    </row>
    <row r="469" spans="1:19">
      <c r="A469" s="961"/>
      <c r="B469" s="137"/>
      <c r="C469" s="53">
        <f t="shared" si="69"/>
        <v>1</v>
      </c>
      <c r="D469" s="959"/>
      <c r="E469" s="53">
        <f t="shared" si="70"/>
        <v>1</v>
      </c>
      <c r="F469" s="959"/>
      <c r="G469" s="53">
        <f t="shared" si="71"/>
        <v>1</v>
      </c>
      <c r="H469" s="959"/>
      <c r="I469" s="53">
        <f t="shared" si="72"/>
        <v>1</v>
      </c>
      <c r="J469" s="959"/>
      <c r="K469" s="53">
        <f t="shared" si="73"/>
        <v>1</v>
      </c>
      <c r="L469" s="959"/>
      <c r="M469" s="53">
        <f t="shared" si="74"/>
        <v>1</v>
      </c>
      <c r="N469" s="959"/>
      <c r="O469" s="53">
        <f t="shared" si="75"/>
        <v>1</v>
      </c>
      <c r="P469" s="959"/>
      <c r="Q469" s="53">
        <f t="shared" si="76"/>
        <v>1</v>
      </c>
      <c r="R469" s="487">
        <f t="shared" si="77"/>
        <v>0</v>
      </c>
      <c r="S469" s="796">
        <f t="shared" si="79"/>
        <v>0</v>
      </c>
    </row>
    <row r="470" spans="1:19">
      <c r="A470" s="961"/>
      <c r="B470" s="137"/>
      <c r="C470" s="53">
        <f t="shared" si="69"/>
        <v>1</v>
      </c>
      <c r="D470" s="959"/>
      <c r="E470" s="53">
        <f t="shared" si="70"/>
        <v>1</v>
      </c>
      <c r="F470" s="959"/>
      <c r="G470" s="53">
        <f t="shared" si="71"/>
        <v>1</v>
      </c>
      <c r="H470" s="959"/>
      <c r="I470" s="53">
        <f t="shared" si="72"/>
        <v>1</v>
      </c>
      <c r="J470" s="959"/>
      <c r="K470" s="53">
        <f t="shared" si="73"/>
        <v>1</v>
      </c>
      <c r="L470" s="959"/>
      <c r="M470" s="53">
        <f t="shared" si="74"/>
        <v>1</v>
      </c>
      <c r="N470" s="959"/>
      <c r="O470" s="53">
        <f t="shared" si="75"/>
        <v>1</v>
      </c>
      <c r="P470" s="959"/>
      <c r="Q470" s="53">
        <f t="shared" si="76"/>
        <v>1</v>
      </c>
      <c r="R470" s="487">
        <f t="shared" si="77"/>
        <v>0</v>
      </c>
      <c r="S470" s="796">
        <f t="shared" si="79"/>
        <v>0</v>
      </c>
    </row>
    <row r="471" spans="1:19">
      <c r="A471" s="961"/>
      <c r="B471" s="137"/>
      <c r="C471" s="53">
        <f t="shared" si="69"/>
        <v>1</v>
      </c>
      <c r="D471" s="959"/>
      <c r="E471" s="53">
        <f t="shared" si="70"/>
        <v>1</v>
      </c>
      <c r="F471" s="959"/>
      <c r="G471" s="53">
        <f t="shared" si="71"/>
        <v>1</v>
      </c>
      <c r="H471" s="959"/>
      <c r="I471" s="53">
        <f t="shared" si="72"/>
        <v>1</v>
      </c>
      <c r="J471" s="959"/>
      <c r="K471" s="53">
        <f t="shared" si="73"/>
        <v>1</v>
      </c>
      <c r="L471" s="959"/>
      <c r="M471" s="53">
        <f t="shared" si="74"/>
        <v>1</v>
      </c>
      <c r="N471" s="959"/>
      <c r="O471" s="53">
        <f t="shared" si="75"/>
        <v>1</v>
      </c>
      <c r="P471" s="959"/>
      <c r="Q471" s="53">
        <f t="shared" si="76"/>
        <v>1</v>
      </c>
      <c r="R471" s="487">
        <f t="shared" si="77"/>
        <v>0</v>
      </c>
      <c r="S471" s="796">
        <f t="shared" si="79"/>
        <v>0</v>
      </c>
    </row>
    <row r="472" spans="1:19">
      <c r="A472" s="961"/>
      <c r="B472" s="137"/>
      <c r="C472" s="53">
        <f t="shared" si="69"/>
        <v>1</v>
      </c>
      <c r="D472" s="959"/>
      <c r="E472" s="53">
        <f t="shared" si="70"/>
        <v>1</v>
      </c>
      <c r="F472" s="959"/>
      <c r="G472" s="53">
        <f t="shared" si="71"/>
        <v>1</v>
      </c>
      <c r="H472" s="959"/>
      <c r="I472" s="53">
        <f t="shared" si="72"/>
        <v>1</v>
      </c>
      <c r="J472" s="959"/>
      <c r="K472" s="53">
        <f t="shared" si="73"/>
        <v>1</v>
      </c>
      <c r="L472" s="959"/>
      <c r="M472" s="53">
        <f t="shared" si="74"/>
        <v>1</v>
      </c>
      <c r="N472" s="959"/>
      <c r="O472" s="53">
        <f t="shared" si="75"/>
        <v>1</v>
      </c>
      <c r="P472" s="959"/>
      <c r="Q472" s="53">
        <f t="shared" si="76"/>
        <v>1</v>
      </c>
      <c r="R472" s="487">
        <f t="shared" si="77"/>
        <v>0</v>
      </c>
      <c r="S472" s="796">
        <f t="shared" si="79"/>
        <v>0</v>
      </c>
    </row>
    <row r="473" spans="1:19">
      <c r="A473" s="961"/>
      <c r="B473" s="137"/>
      <c r="C473" s="53">
        <f t="shared" si="69"/>
        <v>1</v>
      </c>
      <c r="D473" s="959"/>
      <c r="E473" s="53">
        <f t="shared" si="70"/>
        <v>1</v>
      </c>
      <c r="F473" s="959"/>
      <c r="G473" s="53">
        <f t="shared" si="71"/>
        <v>1</v>
      </c>
      <c r="H473" s="959"/>
      <c r="I473" s="53">
        <f t="shared" si="72"/>
        <v>1</v>
      </c>
      <c r="J473" s="959"/>
      <c r="K473" s="53">
        <f t="shared" si="73"/>
        <v>1</v>
      </c>
      <c r="L473" s="959"/>
      <c r="M473" s="53">
        <f t="shared" si="74"/>
        <v>1</v>
      </c>
      <c r="N473" s="959"/>
      <c r="O473" s="53">
        <f t="shared" si="75"/>
        <v>1</v>
      </c>
      <c r="P473" s="959"/>
      <c r="Q473" s="53">
        <f t="shared" si="76"/>
        <v>1</v>
      </c>
      <c r="R473" s="487">
        <f t="shared" si="77"/>
        <v>0</v>
      </c>
      <c r="S473" s="796">
        <f t="shared" si="79"/>
        <v>0</v>
      </c>
    </row>
    <row r="474" spans="1:19">
      <c r="A474" s="961"/>
      <c r="B474" s="137"/>
      <c r="C474" s="53">
        <f t="shared" ref="C474:C524" si="80">IF(B474="",1,(LOOKUP(B474,$3:$3,$4:$4)-LOOKUP($B$24,$3:$3,$4:$4)+100)/100)</f>
        <v>1</v>
      </c>
      <c r="D474" s="959"/>
      <c r="E474" s="53">
        <f t="shared" ref="E474:E524" si="81">(SUMIF($5:$5,D474,$6:$6)-SUMIF($5:$5,$D$24,$6:$6)+100)/100</f>
        <v>1</v>
      </c>
      <c r="F474" s="959"/>
      <c r="G474" s="53">
        <f t="shared" ref="G474:G524" si="82">(SUMIF($7:$7,F474,$8:$8)-SUMIF($7:$7,$F$24,$8:$8)+100)/100</f>
        <v>1</v>
      </c>
      <c r="H474" s="959"/>
      <c r="I474" s="53">
        <f t="shared" ref="I474:I524" si="83">(SUMIF($9:$9,H474,$10:$10)-SUMIF($9:$9,$H$24,$10:$10)+100)/100</f>
        <v>1</v>
      </c>
      <c r="J474" s="959"/>
      <c r="K474" s="53">
        <f t="shared" ref="K474:K524" si="84">(SUMIF($11:$11,J474,$12:$12)-SUMIF($11:$11,$J$24,$12:$12)+100)/100</f>
        <v>1</v>
      </c>
      <c r="L474" s="959"/>
      <c r="M474" s="53">
        <f t="shared" ref="M474:M524" si="85">(SUMIF($13:$13,L474,$14:$14)-SUMIF($13:$13,$L$24,$14:$14)+100)/100</f>
        <v>1</v>
      </c>
      <c r="N474" s="959"/>
      <c r="O474" s="53">
        <f t="shared" ref="O474:O524" si="86">(SUMIF($15:$15,N474,$16:$16)-SUMIF($15:$15,$N$24,$16:$16)+100)/100</f>
        <v>1</v>
      </c>
      <c r="P474" s="959"/>
      <c r="Q474" s="53">
        <f t="shared" ref="Q474:Q524" si="87">(SUMIF($17:$17,P474,$18:$18)-SUMIF($17:$17,$P$24,$18:$18)+100)/100</f>
        <v>1</v>
      </c>
      <c r="R474" s="487">
        <f t="shared" ref="R474:R524" si="88">IF(B474="",0,ROUND($R$24*C474*E474*G474*I474*K474*M474*O474*Q474,0))</f>
        <v>0</v>
      </c>
      <c r="S474" s="796">
        <f t="shared" si="79"/>
        <v>0</v>
      </c>
    </row>
    <row r="475" spans="1:19">
      <c r="A475" s="961"/>
      <c r="B475" s="137"/>
      <c r="C475" s="53">
        <f t="shared" si="80"/>
        <v>1</v>
      </c>
      <c r="D475" s="959"/>
      <c r="E475" s="53">
        <f t="shared" si="81"/>
        <v>1</v>
      </c>
      <c r="F475" s="959"/>
      <c r="G475" s="53">
        <f t="shared" si="82"/>
        <v>1</v>
      </c>
      <c r="H475" s="959"/>
      <c r="I475" s="53">
        <f t="shared" si="83"/>
        <v>1</v>
      </c>
      <c r="J475" s="959"/>
      <c r="K475" s="53">
        <f t="shared" si="84"/>
        <v>1</v>
      </c>
      <c r="L475" s="959"/>
      <c r="M475" s="53">
        <f t="shared" si="85"/>
        <v>1</v>
      </c>
      <c r="N475" s="959"/>
      <c r="O475" s="53">
        <f t="shared" si="86"/>
        <v>1</v>
      </c>
      <c r="P475" s="959"/>
      <c r="Q475" s="53">
        <f t="shared" si="87"/>
        <v>1</v>
      </c>
      <c r="R475" s="487">
        <f t="shared" si="88"/>
        <v>0</v>
      </c>
      <c r="S475" s="796">
        <f t="shared" si="79"/>
        <v>0</v>
      </c>
    </row>
    <row r="476" spans="1:19">
      <c r="A476" s="961"/>
      <c r="B476" s="137"/>
      <c r="C476" s="53">
        <f t="shared" si="80"/>
        <v>1</v>
      </c>
      <c r="D476" s="959"/>
      <c r="E476" s="53">
        <f t="shared" si="81"/>
        <v>1</v>
      </c>
      <c r="F476" s="959"/>
      <c r="G476" s="53">
        <f t="shared" si="82"/>
        <v>1</v>
      </c>
      <c r="H476" s="959"/>
      <c r="I476" s="53">
        <f t="shared" si="83"/>
        <v>1</v>
      </c>
      <c r="J476" s="959"/>
      <c r="K476" s="53">
        <f t="shared" si="84"/>
        <v>1</v>
      </c>
      <c r="L476" s="959"/>
      <c r="M476" s="53">
        <f t="shared" si="85"/>
        <v>1</v>
      </c>
      <c r="N476" s="959"/>
      <c r="O476" s="53">
        <f t="shared" si="86"/>
        <v>1</v>
      </c>
      <c r="P476" s="959"/>
      <c r="Q476" s="53">
        <f t="shared" si="87"/>
        <v>1</v>
      </c>
      <c r="R476" s="487">
        <f t="shared" si="88"/>
        <v>0</v>
      </c>
      <c r="S476" s="796">
        <f t="shared" si="79"/>
        <v>0</v>
      </c>
    </row>
    <row r="477" spans="1:19">
      <c r="A477" s="961"/>
      <c r="B477" s="137"/>
      <c r="C477" s="53">
        <f t="shared" si="80"/>
        <v>1</v>
      </c>
      <c r="D477" s="959"/>
      <c r="E477" s="53">
        <f t="shared" si="81"/>
        <v>1</v>
      </c>
      <c r="F477" s="959"/>
      <c r="G477" s="53">
        <f t="shared" si="82"/>
        <v>1</v>
      </c>
      <c r="H477" s="959"/>
      <c r="I477" s="53">
        <f t="shared" si="83"/>
        <v>1</v>
      </c>
      <c r="J477" s="959"/>
      <c r="K477" s="53">
        <f t="shared" si="84"/>
        <v>1</v>
      </c>
      <c r="L477" s="959"/>
      <c r="M477" s="53">
        <f t="shared" si="85"/>
        <v>1</v>
      </c>
      <c r="N477" s="959"/>
      <c r="O477" s="53">
        <f t="shared" si="86"/>
        <v>1</v>
      </c>
      <c r="P477" s="959"/>
      <c r="Q477" s="53">
        <f t="shared" si="87"/>
        <v>1</v>
      </c>
      <c r="R477" s="487">
        <f t="shared" si="88"/>
        <v>0</v>
      </c>
      <c r="S477" s="796">
        <f t="shared" si="79"/>
        <v>0</v>
      </c>
    </row>
    <row r="478" spans="1:19">
      <c r="A478" s="961"/>
      <c r="B478" s="137"/>
      <c r="C478" s="53">
        <f t="shared" si="80"/>
        <v>1</v>
      </c>
      <c r="D478" s="959"/>
      <c r="E478" s="53">
        <f t="shared" si="81"/>
        <v>1</v>
      </c>
      <c r="F478" s="959"/>
      <c r="G478" s="53">
        <f t="shared" si="82"/>
        <v>1</v>
      </c>
      <c r="H478" s="959"/>
      <c r="I478" s="53">
        <f t="shared" si="83"/>
        <v>1</v>
      </c>
      <c r="J478" s="959"/>
      <c r="K478" s="53">
        <f t="shared" si="84"/>
        <v>1</v>
      </c>
      <c r="L478" s="959"/>
      <c r="M478" s="53">
        <f t="shared" si="85"/>
        <v>1</v>
      </c>
      <c r="N478" s="959"/>
      <c r="O478" s="53">
        <f t="shared" si="86"/>
        <v>1</v>
      </c>
      <c r="P478" s="959"/>
      <c r="Q478" s="53">
        <f t="shared" si="87"/>
        <v>1</v>
      </c>
      <c r="R478" s="487">
        <f t="shared" si="88"/>
        <v>0</v>
      </c>
      <c r="S478" s="796">
        <f t="shared" si="79"/>
        <v>0</v>
      </c>
    </row>
    <row r="479" spans="1:19">
      <c r="A479" s="961"/>
      <c r="B479" s="137"/>
      <c r="C479" s="53">
        <f t="shared" si="80"/>
        <v>1</v>
      </c>
      <c r="D479" s="959"/>
      <c r="E479" s="53">
        <f t="shared" si="81"/>
        <v>1</v>
      </c>
      <c r="F479" s="959"/>
      <c r="G479" s="53">
        <f t="shared" si="82"/>
        <v>1</v>
      </c>
      <c r="H479" s="959"/>
      <c r="I479" s="53">
        <f t="shared" si="83"/>
        <v>1</v>
      </c>
      <c r="J479" s="959"/>
      <c r="K479" s="53">
        <f t="shared" si="84"/>
        <v>1</v>
      </c>
      <c r="L479" s="959"/>
      <c r="M479" s="53">
        <f t="shared" si="85"/>
        <v>1</v>
      </c>
      <c r="N479" s="959"/>
      <c r="O479" s="53">
        <f t="shared" si="86"/>
        <v>1</v>
      </c>
      <c r="P479" s="959"/>
      <c r="Q479" s="53">
        <f t="shared" si="87"/>
        <v>1</v>
      </c>
      <c r="R479" s="487">
        <f t="shared" si="88"/>
        <v>0</v>
      </c>
      <c r="S479" s="796">
        <f t="shared" si="79"/>
        <v>0</v>
      </c>
    </row>
    <row r="480" spans="1:19">
      <c r="A480" s="961"/>
      <c r="B480" s="137"/>
      <c r="C480" s="53">
        <f t="shared" si="80"/>
        <v>1</v>
      </c>
      <c r="D480" s="959"/>
      <c r="E480" s="53">
        <f t="shared" si="81"/>
        <v>1</v>
      </c>
      <c r="F480" s="959"/>
      <c r="G480" s="53">
        <f t="shared" si="82"/>
        <v>1</v>
      </c>
      <c r="H480" s="959"/>
      <c r="I480" s="53">
        <f t="shared" si="83"/>
        <v>1</v>
      </c>
      <c r="J480" s="959"/>
      <c r="K480" s="53">
        <f t="shared" si="84"/>
        <v>1</v>
      </c>
      <c r="L480" s="959"/>
      <c r="M480" s="53">
        <f t="shared" si="85"/>
        <v>1</v>
      </c>
      <c r="N480" s="959"/>
      <c r="O480" s="53">
        <f t="shared" si="86"/>
        <v>1</v>
      </c>
      <c r="P480" s="959"/>
      <c r="Q480" s="53">
        <f t="shared" si="87"/>
        <v>1</v>
      </c>
      <c r="R480" s="487">
        <f t="shared" si="88"/>
        <v>0</v>
      </c>
      <c r="S480" s="796">
        <f t="shared" si="79"/>
        <v>0</v>
      </c>
    </row>
    <row r="481" spans="1:19">
      <c r="A481" s="961"/>
      <c r="B481" s="137"/>
      <c r="C481" s="53">
        <f t="shared" si="80"/>
        <v>1</v>
      </c>
      <c r="D481" s="959"/>
      <c r="E481" s="53">
        <f t="shared" si="81"/>
        <v>1</v>
      </c>
      <c r="F481" s="959"/>
      <c r="G481" s="53">
        <f t="shared" si="82"/>
        <v>1</v>
      </c>
      <c r="H481" s="959"/>
      <c r="I481" s="53">
        <f t="shared" si="83"/>
        <v>1</v>
      </c>
      <c r="J481" s="959"/>
      <c r="K481" s="53">
        <f t="shared" si="84"/>
        <v>1</v>
      </c>
      <c r="L481" s="959"/>
      <c r="M481" s="53">
        <f t="shared" si="85"/>
        <v>1</v>
      </c>
      <c r="N481" s="959"/>
      <c r="O481" s="53">
        <f t="shared" si="86"/>
        <v>1</v>
      </c>
      <c r="P481" s="959"/>
      <c r="Q481" s="53">
        <f t="shared" si="87"/>
        <v>1</v>
      </c>
      <c r="R481" s="487">
        <f t="shared" si="88"/>
        <v>0</v>
      </c>
      <c r="S481" s="796">
        <f t="shared" si="79"/>
        <v>0</v>
      </c>
    </row>
    <row r="482" spans="1:19">
      <c r="A482" s="961"/>
      <c r="B482" s="137"/>
      <c r="C482" s="53">
        <f t="shared" si="80"/>
        <v>1</v>
      </c>
      <c r="D482" s="959"/>
      <c r="E482" s="53">
        <f t="shared" si="81"/>
        <v>1</v>
      </c>
      <c r="F482" s="959"/>
      <c r="G482" s="53">
        <f t="shared" si="82"/>
        <v>1</v>
      </c>
      <c r="H482" s="959"/>
      <c r="I482" s="53">
        <f t="shared" si="83"/>
        <v>1</v>
      </c>
      <c r="J482" s="959"/>
      <c r="K482" s="53">
        <f t="shared" si="84"/>
        <v>1</v>
      </c>
      <c r="L482" s="959"/>
      <c r="M482" s="53">
        <f t="shared" si="85"/>
        <v>1</v>
      </c>
      <c r="N482" s="959"/>
      <c r="O482" s="53">
        <f t="shared" si="86"/>
        <v>1</v>
      </c>
      <c r="P482" s="959"/>
      <c r="Q482" s="53">
        <f t="shared" si="87"/>
        <v>1</v>
      </c>
      <c r="R482" s="487">
        <f t="shared" si="88"/>
        <v>0</v>
      </c>
      <c r="S482" s="796">
        <f t="shared" si="79"/>
        <v>0</v>
      </c>
    </row>
    <row r="483" spans="1:19">
      <c r="A483" s="961"/>
      <c r="B483" s="137"/>
      <c r="C483" s="53">
        <f t="shared" si="80"/>
        <v>1</v>
      </c>
      <c r="D483" s="959"/>
      <c r="E483" s="53">
        <f t="shared" si="81"/>
        <v>1</v>
      </c>
      <c r="F483" s="959"/>
      <c r="G483" s="53">
        <f t="shared" si="82"/>
        <v>1</v>
      </c>
      <c r="H483" s="959"/>
      <c r="I483" s="53">
        <f t="shared" si="83"/>
        <v>1</v>
      </c>
      <c r="J483" s="959"/>
      <c r="K483" s="53">
        <f t="shared" si="84"/>
        <v>1</v>
      </c>
      <c r="L483" s="959"/>
      <c r="M483" s="53">
        <f t="shared" si="85"/>
        <v>1</v>
      </c>
      <c r="N483" s="959"/>
      <c r="O483" s="53">
        <f t="shared" si="86"/>
        <v>1</v>
      </c>
      <c r="P483" s="959"/>
      <c r="Q483" s="53">
        <f t="shared" si="87"/>
        <v>1</v>
      </c>
      <c r="R483" s="487">
        <f t="shared" si="88"/>
        <v>0</v>
      </c>
      <c r="S483" s="796">
        <f t="shared" si="79"/>
        <v>0</v>
      </c>
    </row>
    <row r="484" spans="1:19">
      <c r="A484" s="961"/>
      <c r="B484" s="137"/>
      <c r="C484" s="53">
        <f t="shared" si="80"/>
        <v>1</v>
      </c>
      <c r="D484" s="959"/>
      <c r="E484" s="53">
        <f t="shared" si="81"/>
        <v>1</v>
      </c>
      <c r="F484" s="959"/>
      <c r="G484" s="53">
        <f t="shared" si="82"/>
        <v>1</v>
      </c>
      <c r="H484" s="959"/>
      <c r="I484" s="53">
        <f t="shared" si="83"/>
        <v>1</v>
      </c>
      <c r="J484" s="959"/>
      <c r="K484" s="53">
        <f t="shared" si="84"/>
        <v>1</v>
      </c>
      <c r="L484" s="959"/>
      <c r="M484" s="53">
        <f t="shared" si="85"/>
        <v>1</v>
      </c>
      <c r="N484" s="959"/>
      <c r="O484" s="53">
        <f t="shared" si="86"/>
        <v>1</v>
      </c>
      <c r="P484" s="959"/>
      <c r="Q484" s="53">
        <f t="shared" si="87"/>
        <v>1</v>
      </c>
      <c r="R484" s="487">
        <f t="shared" si="88"/>
        <v>0</v>
      </c>
      <c r="S484" s="796">
        <f t="shared" si="79"/>
        <v>0</v>
      </c>
    </row>
    <row r="485" spans="1:19">
      <c r="A485" s="961"/>
      <c r="B485" s="137"/>
      <c r="C485" s="53">
        <f t="shared" si="80"/>
        <v>1</v>
      </c>
      <c r="D485" s="959"/>
      <c r="E485" s="53">
        <f t="shared" si="81"/>
        <v>1</v>
      </c>
      <c r="F485" s="959"/>
      <c r="G485" s="53">
        <f t="shared" si="82"/>
        <v>1</v>
      </c>
      <c r="H485" s="959"/>
      <c r="I485" s="53">
        <f t="shared" si="83"/>
        <v>1</v>
      </c>
      <c r="J485" s="959"/>
      <c r="K485" s="53">
        <f t="shared" si="84"/>
        <v>1</v>
      </c>
      <c r="L485" s="959"/>
      <c r="M485" s="53">
        <f t="shared" si="85"/>
        <v>1</v>
      </c>
      <c r="N485" s="959"/>
      <c r="O485" s="53">
        <f t="shared" si="86"/>
        <v>1</v>
      </c>
      <c r="P485" s="959"/>
      <c r="Q485" s="53">
        <f t="shared" si="87"/>
        <v>1</v>
      </c>
      <c r="R485" s="487">
        <f t="shared" si="88"/>
        <v>0</v>
      </c>
      <c r="S485" s="796">
        <f t="shared" si="79"/>
        <v>0</v>
      </c>
    </row>
    <row r="486" spans="1:19">
      <c r="A486" s="961"/>
      <c r="B486" s="137"/>
      <c r="C486" s="53">
        <f t="shared" si="80"/>
        <v>1</v>
      </c>
      <c r="D486" s="959"/>
      <c r="E486" s="53">
        <f t="shared" si="81"/>
        <v>1</v>
      </c>
      <c r="F486" s="959"/>
      <c r="G486" s="53">
        <f t="shared" si="82"/>
        <v>1</v>
      </c>
      <c r="H486" s="959"/>
      <c r="I486" s="53">
        <f t="shared" si="83"/>
        <v>1</v>
      </c>
      <c r="J486" s="959"/>
      <c r="K486" s="53">
        <f t="shared" si="84"/>
        <v>1</v>
      </c>
      <c r="L486" s="959"/>
      <c r="M486" s="53">
        <f t="shared" si="85"/>
        <v>1</v>
      </c>
      <c r="N486" s="959"/>
      <c r="O486" s="53">
        <f t="shared" si="86"/>
        <v>1</v>
      </c>
      <c r="P486" s="959"/>
      <c r="Q486" s="53">
        <f t="shared" si="87"/>
        <v>1</v>
      </c>
      <c r="R486" s="487">
        <f t="shared" si="88"/>
        <v>0</v>
      </c>
      <c r="S486" s="796">
        <f t="shared" si="79"/>
        <v>0</v>
      </c>
    </row>
    <row r="487" spans="1:19">
      <c r="A487" s="961"/>
      <c r="B487" s="137"/>
      <c r="C487" s="53">
        <f t="shared" si="80"/>
        <v>1</v>
      </c>
      <c r="D487" s="959"/>
      <c r="E487" s="53">
        <f t="shared" si="81"/>
        <v>1</v>
      </c>
      <c r="F487" s="959"/>
      <c r="G487" s="53">
        <f t="shared" si="82"/>
        <v>1</v>
      </c>
      <c r="H487" s="959"/>
      <c r="I487" s="53">
        <f t="shared" si="83"/>
        <v>1</v>
      </c>
      <c r="J487" s="959"/>
      <c r="K487" s="53">
        <f t="shared" si="84"/>
        <v>1</v>
      </c>
      <c r="L487" s="959"/>
      <c r="M487" s="53">
        <f t="shared" si="85"/>
        <v>1</v>
      </c>
      <c r="N487" s="959"/>
      <c r="O487" s="53">
        <f t="shared" si="86"/>
        <v>1</v>
      </c>
      <c r="P487" s="959"/>
      <c r="Q487" s="53">
        <f t="shared" si="87"/>
        <v>1</v>
      </c>
      <c r="R487" s="487">
        <f t="shared" si="88"/>
        <v>0</v>
      </c>
      <c r="S487" s="796">
        <f t="shared" si="79"/>
        <v>0</v>
      </c>
    </row>
    <row r="488" spans="1:19">
      <c r="A488" s="961"/>
      <c r="B488" s="137"/>
      <c r="C488" s="53">
        <f t="shared" si="80"/>
        <v>1</v>
      </c>
      <c r="D488" s="959"/>
      <c r="E488" s="53">
        <f t="shared" si="81"/>
        <v>1</v>
      </c>
      <c r="F488" s="959"/>
      <c r="G488" s="53">
        <f t="shared" si="82"/>
        <v>1</v>
      </c>
      <c r="H488" s="959"/>
      <c r="I488" s="53">
        <f t="shared" si="83"/>
        <v>1</v>
      </c>
      <c r="J488" s="959"/>
      <c r="K488" s="53">
        <f t="shared" si="84"/>
        <v>1</v>
      </c>
      <c r="L488" s="959"/>
      <c r="M488" s="53">
        <f t="shared" si="85"/>
        <v>1</v>
      </c>
      <c r="N488" s="959"/>
      <c r="O488" s="53">
        <f t="shared" si="86"/>
        <v>1</v>
      </c>
      <c r="P488" s="959"/>
      <c r="Q488" s="53">
        <f t="shared" si="87"/>
        <v>1</v>
      </c>
      <c r="R488" s="487">
        <f t="shared" si="88"/>
        <v>0</v>
      </c>
      <c r="S488" s="796">
        <f t="shared" si="79"/>
        <v>0</v>
      </c>
    </row>
    <row r="489" spans="1:19">
      <c r="A489" s="961"/>
      <c r="B489" s="137"/>
      <c r="C489" s="53">
        <f t="shared" si="80"/>
        <v>1</v>
      </c>
      <c r="D489" s="959"/>
      <c r="E489" s="53">
        <f t="shared" si="81"/>
        <v>1</v>
      </c>
      <c r="F489" s="959"/>
      <c r="G489" s="53">
        <f t="shared" si="82"/>
        <v>1</v>
      </c>
      <c r="H489" s="959"/>
      <c r="I489" s="53">
        <f t="shared" si="83"/>
        <v>1</v>
      </c>
      <c r="J489" s="959"/>
      <c r="K489" s="53">
        <f t="shared" si="84"/>
        <v>1</v>
      </c>
      <c r="L489" s="959"/>
      <c r="M489" s="53">
        <f t="shared" si="85"/>
        <v>1</v>
      </c>
      <c r="N489" s="959"/>
      <c r="O489" s="53">
        <f t="shared" si="86"/>
        <v>1</v>
      </c>
      <c r="P489" s="959"/>
      <c r="Q489" s="53">
        <f t="shared" si="87"/>
        <v>1</v>
      </c>
      <c r="R489" s="487">
        <f t="shared" si="88"/>
        <v>0</v>
      </c>
      <c r="S489" s="796">
        <f t="shared" si="79"/>
        <v>0</v>
      </c>
    </row>
    <row r="490" spans="1:19">
      <c r="A490" s="961"/>
      <c r="B490" s="137"/>
      <c r="C490" s="53">
        <f t="shared" si="80"/>
        <v>1</v>
      </c>
      <c r="D490" s="959"/>
      <c r="E490" s="53">
        <f t="shared" si="81"/>
        <v>1</v>
      </c>
      <c r="F490" s="959"/>
      <c r="G490" s="53">
        <f t="shared" si="82"/>
        <v>1</v>
      </c>
      <c r="H490" s="959"/>
      <c r="I490" s="53">
        <f t="shared" si="83"/>
        <v>1</v>
      </c>
      <c r="J490" s="959"/>
      <c r="K490" s="53">
        <f t="shared" si="84"/>
        <v>1</v>
      </c>
      <c r="L490" s="959"/>
      <c r="M490" s="53">
        <f t="shared" si="85"/>
        <v>1</v>
      </c>
      <c r="N490" s="959"/>
      <c r="O490" s="53">
        <f t="shared" si="86"/>
        <v>1</v>
      </c>
      <c r="P490" s="959"/>
      <c r="Q490" s="53">
        <f t="shared" si="87"/>
        <v>1</v>
      </c>
      <c r="R490" s="487">
        <f t="shared" si="88"/>
        <v>0</v>
      </c>
      <c r="S490" s="796">
        <f t="shared" si="79"/>
        <v>0</v>
      </c>
    </row>
    <row r="491" spans="1:19">
      <c r="A491" s="961"/>
      <c r="B491" s="137"/>
      <c r="C491" s="53">
        <f t="shared" si="80"/>
        <v>1</v>
      </c>
      <c r="D491" s="959"/>
      <c r="E491" s="53">
        <f t="shared" si="81"/>
        <v>1</v>
      </c>
      <c r="F491" s="959"/>
      <c r="G491" s="53">
        <f t="shared" si="82"/>
        <v>1</v>
      </c>
      <c r="H491" s="959"/>
      <c r="I491" s="53">
        <f t="shared" si="83"/>
        <v>1</v>
      </c>
      <c r="J491" s="959"/>
      <c r="K491" s="53">
        <f t="shared" si="84"/>
        <v>1</v>
      </c>
      <c r="L491" s="959"/>
      <c r="M491" s="53">
        <f t="shared" si="85"/>
        <v>1</v>
      </c>
      <c r="N491" s="959"/>
      <c r="O491" s="53">
        <f t="shared" si="86"/>
        <v>1</v>
      </c>
      <c r="P491" s="959"/>
      <c r="Q491" s="53">
        <f t="shared" si="87"/>
        <v>1</v>
      </c>
      <c r="R491" s="487">
        <f t="shared" si="88"/>
        <v>0</v>
      </c>
      <c r="S491" s="796">
        <f t="shared" si="79"/>
        <v>0</v>
      </c>
    </row>
    <row r="492" spans="1:19">
      <c r="A492" s="961"/>
      <c r="B492" s="137"/>
      <c r="C492" s="53">
        <f t="shared" si="80"/>
        <v>1</v>
      </c>
      <c r="D492" s="959"/>
      <c r="E492" s="53">
        <f t="shared" si="81"/>
        <v>1</v>
      </c>
      <c r="F492" s="959"/>
      <c r="G492" s="53">
        <f t="shared" si="82"/>
        <v>1</v>
      </c>
      <c r="H492" s="959"/>
      <c r="I492" s="53">
        <f t="shared" si="83"/>
        <v>1</v>
      </c>
      <c r="J492" s="959"/>
      <c r="K492" s="53">
        <f t="shared" si="84"/>
        <v>1</v>
      </c>
      <c r="L492" s="959"/>
      <c r="M492" s="53">
        <f t="shared" si="85"/>
        <v>1</v>
      </c>
      <c r="N492" s="959"/>
      <c r="O492" s="53">
        <f t="shared" si="86"/>
        <v>1</v>
      </c>
      <c r="P492" s="959"/>
      <c r="Q492" s="53">
        <f t="shared" si="87"/>
        <v>1</v>
      </c>
      <c r="R492" s="487">
        <f t="shared" si="88"/>
        <v>0</v>
      </c>
      <c r="S492" s="796">
        <f t="shared" si="79"/>
        <v>0</v>
      </c>
    </row>
    <row r="493" spans="1:19">
      <c r="A493" s="961"/>
      <c r="B493" s="137"/>
      <c r="C493" s="53">
        <f t="shared" si="80"/>
        <v>1</v>
      </c>
      <c r="D493" s="959"/>
      <c r="E493" s="53">
        <f t="shared" si="81"/>
        <v>1</v>
      </c>
      <c r="F493" s="959"/>
      <c r="G493" s="53">
        <f t="shared" si="82"/>
        <v>1</v>
      </c>
      <c r="H493" s="959"/>
      <c r="I493" s="53">
        <f t="shared" si="83"/>
        <v>1</v>
      </c>
      <c r="J493" s="959"/>
      <c r="K493" s="53">
        <f t="shared" si="84"/>
        <v>1</v>
      </c>
      <c r="L493" s="959"/>
      <c r="M493" s="53">
        <f t="shared" si="85"/>
        <v>1</v>
      </c>
      <c r="N493" s="959"/>
      <c r="O493" s="53">
        <f t="shared" si="86"/>
        <v>1</v>
      </c>
      <c r="P493" s="959"/>
      <c r="Q493" s="53">
        <f t="shared" si="87"/>
        <v>1</v>
      </c>
      <c r="R493" s="487">
        <f t="shared" si="88"/>
        <v>0</v>
      </c>
      <c r="S493" s="796">
        <f t="shared" si="79"/>
        <v>0</v>
      </c>
    </row>
    <row r="494" spans="1:19">
      <c r="A494" s="961"/>
      <c r="B494" s="137"/>
      <c r="C494" s="53">
        <f t="shared" si="80"/>
        <v>1</v>
      </c>
      <c r="D494" s="959"/>
      <c r="E494" s="53">
        <f t="shared" si="81"/>
        <v>1</v>
      </c>
      <c r="F494" s="959"/>
      <c r="G494" s="53">
        <f t="shared" si="82"/>
        <v>1</v>
      </c>
      <c r="H494" s="959"/>
      <c r="I494" s="53">
        <f t="shared" si="83"/>
        <v>1</v>
      </c>
      <c r="J494" s="959"/>
      <c r="K494" s="53">
        <f t="shared" si="84"/>
        <v>1</v>
      </c>
      <c r="L494" s="959"/>
      <c r="M494" s="53">
        <f t="shared" si="85"/>
        <v>1</v>
      </c>
      <c r="N494" s="959"/>
      <c r="O494" s="53">
        <f t="shared" si="86"/>
        <v>1</v>
      </c>
      <c r="P494" s="959"/>
      <c r="Q494" s="53">
        <f t="shared" si="87"/>
        <v>1</v>
      </c>
      <c r="R494" s="487">
        <f t="shared" si="88"/>
        <v>0</v>
      </c>
      <c r="S494" s="796">
        <f t="shared" si="79"/>
        <v>0</v>
      </c>
    </row>
    <row r="495" spans="1:19">
      <c r="A495" s="961"/>
      <c r="B495" s="137"/>
      <c r="C495" s="53">
        <f t="shared" si="80"/>
        <v>1</v>
      </c>
      <c r="D495" s="959"/>
      <c r="E495" s="53">
        <f t="shared" si="81"/>
        <v>1</v>
      </c>
      <c r="F495" s="959"/>
      <c r="G495" s="53">
        <f t="shared" si="82"/>
        <v>1</v>
      </c>
      <c r="H495" s="959"/>
      <c r="I495" s="53">
        <f t="shared" si="83"/>
        <v>1</v>
      </c>
      <c r="J495" s="959"/>
      <c r="K495" s="53">
        <f t="shared" si="84"/>
        <v>1</v>
      </c>
      <c r="L495" s="959"/>
      <c r="M495" s="53">
        <f t="shared" si="85"/>
        <v>1</v>
      </c>
      <c r="N495" s="959"/>
      <c r="O495" s="53">
        <f t="shared" si="86"/>
        <v>1</v>
      </c>
      <c r="P495" s="959"/>
      <c r="Q495" s="53">
        <f t="shared" si="87"/>
        <v>1</v>
      </c>
      <c r="R495" s="487">
        <f t="shared" si="88"/>
        <v>0</v>
      </c>
      <c r="S495" s="796">
        <f t="shared" si="79"/>
        <v>0</v>
      </c>
    </row>
    <row r="496" spans="1:19">
      <c r="A496" s="961"/>
      <c r="B496" s="137"/>
      <c r="C496" s="53">
        <f t="shared" si="80"/>
        <v>1</v>
      </c>
      <c r="D496" s="959"/>
      <c r="E496" s="53">
        <f t="shared" si="81"/>
        <v>1</v>
      </c>
      <c r="F496" s="959"/>
      <c r="G496" s="53">
        <f t="shared" si="82"/>
        <v>1</v>
      </c>
      <c r="H496" s="959"/>
      <c r="I496" s="53">
        <f t="shared" si="83"/>
        <v>1</v>
      </c>
      <c r="J496" s="959"/>
      <c r="K496" s="53">
        <f t="shared" si="84"/>
        <v>1</v>
      </c>
      <c r="L496" s="959"/>
      <c r="M496" s="53">
        <f t="shared" si="85"/>
        <v>1</v>
      </c>
      <c r="N496" s="959"/>
      <c r="O496" s="53">
        <f t="shared" si="86"/>
        <v>1</v>
      </c>
      <c r="P496" s="959"/>
      <c r="Q496" s="53">
        <f t="shared" si="87"/>
        <v>1</v>
      </c>
      <c r="R496" s="487">
        <f t="shared" si="88"/>
        <v>0</v>
      </c>
      <c r="S496" s="796">
        <f t="shared" si="79"/>
        <v>0</v>
      </c>
    </row>
    <row r="497" spans="1:19">
      <c r="A497" s="961"/>
      <c r="B497" s="137"/>
      <c r="C497" s="53">
        <f t="shared" si="80"/>
        <v>1</v>
      </c>
      <c r="D497" s="959"/>
      <c r="E497" s="53">
        <f t="shared" si="81"/>
        <v>1</v>
      </c>
      <c r="F497" s="959"/>
      <c r="G497" s="53">
        <f t="shared" si="82"/>
        <v>1</v>
      </c>
      <c r="H497" s="959"/>
      <c r="I497" s="53">
        <f t="shared" si="83"/>
        <v>1</v>
      </c>
      <c r="J497" s="959"/>
      <c r="K497" s="53">
        <f t="shared" si="84"/>
        <v>1</v>
      </c>
      <c r="L497" s="959"/>
      <c r="M497" s="53">
        <f t="shared" si="85"/>
        <v>1</v>
      </c>
      <c r="N497" s="959"/>
      <c r="O497" s="53">
        <f t="shared" si="86"/>
        <v>1</v>
      </c>
      <c r="P497" s="959"/>
      <c r="Q497" s="53">
        <f t="shared" si="87"/>
        <v>1</v>
      </c>
      <c r="R497" s="487">
        <f t="shared" si="88"/>
        <v>0</v>
      </c>
      <c r="S497" s="796">
        <f t="shared" si="79"/>
        <v>0</v>
      </c>
    </row>
    <row r="498" spans="1:19">
      <c r="A498" s="961"/>
      <c r="B498" s="137"/>
      <c r="C498" s="53">
        <f t="shared" si="80"/>
        <v>1</v>
      </c>
      <c r="D498" s="959"/>
      <c r="E498" s="53">
        <f t="shared" si="81"/>
        <v>1</v>
      </c>
      <c r="F498" s="959"/>
      <c r="G498" s="53">
        <f t="shared" si="82"/>
        <v>1</v>
      </c>
      <c r="H498" s="959"/>
      <c r="I498" s="53">
        <f t="shared" si="83"/>
        <v>1</v>
      </c>
      <c r="J498" s="959"/>
      <c r="K498" s="53">
        <f t="shared" si="84"/>
        <v>1</v>
      </c>
      <c r="L498" s="959"/>
      <c r="M498" s="53">
        <f t="shared" si="85"/>
        <v>1</v>
      </c>
      <c r="N498" s="959"/>
      <c r="O498" s="53">
        <f t="shared" si="86"/>
        <v>1</v>
      </c>
      <c r="P498" s="959"/>
      <c r="Q498" s="53">
        <f t="shared" si="87"/>
        <v>1</v>
      </c>
      <c r="R498" s="487">
        <f t="shared" si="88"/>
        <v>0</v>
      </c>
      <c r="S498" s="796">
        <f t="shared" ref="S498:S524" si="89">ROUND(R498*B498/10000,0)</f>
        <v>0</v>
      </c>
    </row>
    <row r="499" spans="1:19">
      <c r="A499" s="961"/>
      <c r="B499" s="137"/>
      <c r="C499" s="53">
        <f t="shared" si="80"/>
        <v>1</v>
      </c>
      <c r="D499" s="959"/>
      <c r="E499" s="53">
        <f t="shared" si="81"/>
        <v>1</v>
      </c>
      <c r="F499" s="959"/>
      <c r="G499" s="53">
        <f t="shared" si="82"/>
        <v>1</v>
      </c>
      <c r="H499" s="959"/>
      <c r="I499" s="53">
        <f t="shared" si="83"/>
        <v>1</v>
      </c>
      <c r="J499" s="959"/>
      <c r="K499" s="53">
        <f t="shared" si="84"/>
        <v>1</v>
      </c>
      <c r="L499" s="959"/>
      <c r="M499" s="53">
        <f t="shared" si="85"/>
        <v>1</v>
      </c>
      <c r="N499" s="959"/>
      <c r="O499" s="53">
        <f t="shared" si="86"/>
        <v>1</v>
      </c>
      <c r="P499" s="959"/>
      <c r="Q499" s="53">
        <f t="shared" si="87"/>
        <v>1</v>
      </c>
      <c r="R499" s="487">
        <f t="shared" si="88"/>
        <v>0</v>
      </c>
      <c r="S499" s="796">
        <f t="shared" si="89"/>
        <v>0</v>
      </c>
    </row>
    <row r="500" spans="1:19">
      <c r="A500" s="961"/>
      <c r="B500" s="137"/>
      <c r="C500" s="53">
        <f t="shared" si="80"/>
        <v>1</v>
      </c>
      <c r="D500" s="959"/>
      <c r="E500" s="53">
        <f t="shared" si="81"/>
        <v>1</v>
      </c>
      <c r="F500" s="959"/>
      <c r="G500" s="53">
        <f t="shared" si="82"/>
        <v>1</v>
      </c>
      <c r="H500" s="959"/>
      <c r="I500" s="53">
        <f t="shared" si="83"/>
        <v>1</v>
      </c>
      <c r="J500" s="959"/>
      <c r="K500" s="53">
        <f t="shared" si="84"/>
        <v>1</v>
      </c>
      <c r="L500" s="959"/>
      <c r="M500" s="53">
        <f t="shared" si="85"/>
        <v>1</v>
      </c>
      <c r="N500" s="959"/>
      <c r="O500" s="53">
        <f t="shared" si="86"/>
        <v>1</v>
      </c>
      <c r="P500" s="959"/>
      <c r="Q500" s="53">
        <f t="shared" si="87"/>
        <v>1</v>
      </c>
      <c r="R500" s="487">
        <f t="shared" si="88"/>
        <v>0</v>
      </c>
      <c r="S500" s="796">
        <f t="shared" si="89"/>
        <v>0</v>
      </c>
    </row>
    <row r="501" spans="1:19">
      <c r="A501" s="961"/>
      <c r="B501" s="137"/>
      <c r="C501" s="53">
        <f t="shared" si="80"/>
        <v>1</v>
      </c>
      <c r="D501" s="959"/>
      <c r="E501" s="53">
        <f t="shared" si="81"/>
        <v>1</v>
      </c>
      <c r="F501" s="959"/>
      <c r="G501" s="53">
        <f t="shared" si="82"/>
        <v>1</v>
      </c>
      <c r="H501" s="959"/>
      <c r="I501" s="53">
        <f t="shared" si="83"/>
        <v>1</v>
      </c>
      <c r="J501" s="959"/>
      <c r="K501" s="53">
        <f t="shared" si="84"/>
        <v>1</v>
      </c>
      <c r="L501" s="959"/>
      <c r="M501" s="53">
        <f t="shared" si="85"/>
        <v>1</v>
      </c>
      <c r="N501" s="959"/>
      <c r="O501" s="53">
        <f t="shared" si="86"/>
        <v>1</v>
      </c>
      <c r="P501" s="959"/>
      <c r="Q501" s="53">
        <f t="shared" si="87"/>
        <v>1</v>
      </c>
      <c r="R501" s="487">
        <f t="shared" si="88"/>
        <v>0</v>
      </c>
      <c r="S501" s="796">
        <f t="shared" si="89"/>
        <v>0</v>
      </c>
    </row>
    <row r="502" spans="1:19">
      <c r="A502" s="961"/>
      <c r="B502" s="137"/>
      <c r="C502" s="53">
        <f t="shared" si="80"/>
        <v>1</v>
      </c>
      <c r="D502" s="959"/>
      <c r="E502" s="53">
        <f t="shared" si="81"/>
        <v>1</v>
      </c>
      <c r="F502" s="959"/>
      <c r="G502" s="53">
        <f t="shared" si="82"/>
        <v>1</v>
      </c>
      <c r="H502" s="959"/>
      <c r="I502" s="53">
        <f t="shared" si="83"/>
        <v>1</v>
      </c>
      <c r="J502" s="959"/>
      <c r="K502" s="53">
        <f t="shared" si="84"/>
        <v>1</v>
      </c>
      <c r="L502" s="959"/>
      <c r="M502" s="53">
        <f t="shared" si="85"/>
        <v>1</v>
      </c>
      <c r="N502" s="959"/>
      <c r="O502" s="53">
        <f t="shared" si="86"/>
        <v>1</v>
      </c>
      <c r="P502" s="959"/>
      <c r="Q502" s="53">
        <f t="shared" si="87"/>
        <v>1</v>
      </c>
      <c r="R502" s="487">
        <f t="shared" si="88"/>
        <v>0</v>
      </c>
      <c r="S502" s="796">
        <f t="shared" si="89"/>
        <v>0</v>
      </c>
    </row>
    <row r="503" spans="1:19">
      <c r="A503" s="961"/>
      <c r="B503" s="137"/>
      <c r="C503" s="53">
        <f t="shared" si="80"/>
        <v>1</v>
      </c>
      <c r="D503" s="959"/>
      <c r="E503" s="53">
        <f t="shared" si="81"/>
        <v>1</v>
      </c>
      <c r="F503" s="959"/>
      <c r="G503" s="53">
        <f t="shared" si="82"/>
        <v>1</v>
      </c>
      <c r="H503" s="959"/>
      <c r="I503" s="53">
        <f t="shared" si="83"/>
        <v>1</v>
      </c>
      <c r="J503" s="959"/>
      <c r="K503" s="53">
        <f t="shared" si="84"/>
        <v>1</v>
      </c>
      <c r="L503" s="959"/>
      <c r="M503" s="53">
        <f t="shared" si="85"/>
        <v>1</v>
      </c>
      <c r="N503" s="959"/>
      <c r="O503" s="53">
        <f t="shared" si="86"/>
        <v>1</v>
      </c>
      <c r="P503" s="959"/>
      <c r="Q503" s="53">
        <f t="shared" si="87"/>
        <v>1</v>
      </c>
      <c r="R503" s="487">
        <f t="shared" si="88"/>
        <v>0</v>
      </c>
      <c r="S503" s="796">
        <f t="shared" si="89"/>
        <v>0</v>
      </c>
    </row>
    <row r="504" spans="1:19">
      <c r="A504" s="961"/>
      <c r="B504" s="137"/>
      <c r="C504" s="53">
        <f t="shared" si="80"/>
        <v>1</v>
      </c>
      <c r="D504" s="959"/>
      <c r="E504" s="53">
        <f t="shared" si="81"/>
        <v>1</v>
      </c>
      <c r="F504" s="959"/>
      <c r="G504" s="53">
        <f t="shared" si="82"/>
        <v>1</v>
      </c>
      <c r="H504" s="959"/>
      <c r="I504" s="53">
        <f t="shared" si="83"/>
        <v>1</v>
      </c>
      <c r="J504" s="959"/>
      <c r="K504" s="53">
        <f t="shared" si="84"/>
        <v>1</v>
      </c>
      <c r="L504" s="959"/>
      <c r="M504" s="53">
        <f t="shared" si="85"/>
        <v>1</v>
      </c>
      <c r="N504" s="959"/>
      <c r="O504" s="53">
        <f t="shared" si="86"/>
        <v>1</v>
      </c>
      <c r="P504" s="959"/>
      <c r="Q504" s="53">
        <f t="shared" si="87"/>
        <v>1</v>
      </c>
      <c r="R504" s="487">
        <f t="shared" si="88"/>
        <v>0</v>
      </c>
      <c r="S504" s="796">
        <f t="shared" si="89"/>
        <v>0</v>
      </c>
    </row>
    <row r="505" spans="1:19">
      <c r="A505" s="961"/>
      <c r="B505" s="137"/>
      <c r="C505" s="53">
        <f t="shared" si="80"/>
        <v>1</v>
      </c>
      <c r="D505" s="959"/>
      <c r="E505" s="53">
        <f t="shared" si="81"/>
        <v>1</v>
      </c>
      <c r="F505" s="959"/>
      <c r="G505" s="53">
        <f t="shared" si="82"/>
        <v>1</v>
      </c>
      <c r="H505" s="959"/>
      <c r="I505" s="53">
        <f t="shared" si="83"/>
        <v>1</v>
      </c>
      <c r="J505" s="959"/>
      <c r="K505" s="53">
        <f t="shared" si="84"/>
        <v>1</v>
      </c>
      <c r="L505" s="959"/>
      <c r="M505" s="53">
        <f t="shared" si="85"/>
        <v>1</v>
      </c>
      <c r="N505" s="959"/>
      <c r="O505" s="53">
        <f t="shared" si="86"/>
        <v>1</v>
      </c>
      <c r="P505" s="959"/>
      <c r="Q505" s="53">
        <f t="shared" si="87"/>
        <v>1</v>
      </c>
      <c r="R505" s="487">
        <f t="shared" si="88"/>
        <v>0</v>
      </c>
      <c r="S505" s="796">
        <f t="shared" si="89"/>
        <v>0</v>
      </c>
    </row>
    <row r="506" spans="1:19">
      <c r="A506" s="961"/>
      <c r="B506" s="137"/>
      <c r="C506" s="53">
        <f t="shared" si="80"/>
        <v>1</v>
      </c>
      <c r="D506" s="959"/>
      <c r="E506" s="53">
        <f t="shared" si="81"/>
        <v>1</v>
      </c>
      <c r="F506" s="959"/>
      <c r="G506" s="53">
        <f t="shared" si="82"/>
        <v>1</v>
      </c>
      <c r="H506" s="959"/>
      <c r="I506" s="53">
        <f t="shared" si="83"/>
        <v>1</v>
      </c>
      <c r="J506" s="959"/>
      <c r="K506" s="53">
        <f t="shared" si="84"/>
        <v>1</v>
      </c>
      <c r="L506" s="959"/>
      <c r="M506" s="53">
        <f t="shared" si="85"/>
        <v>1</v>
      </c>
      <c r="N506" s="959"/>
      <c r="O506" s="53">
        <f t="shared" si="86"/>
        <v>1</v>
      </c>
      <c r="P506" s="959"/>
      <c r="Q506" s="53">
        <f t="shared" si="87"/>
        <v>1</v>
      </c>
      <c r="R506" s="487">
        <f t="shared" si="88"/>
        <v>0</v>
      </c>
      <c r="S506" s="796">
        <f t="shared" si="89"/>
        <v>0</v>
      </c>
    </row>
    <row r="507" spans="1:19">
      <c r="A507" s="961"/>
      <c r="B507" s="137"/>
      <c r="C507" s="53">
        <f t="shared" si="80"/>
        <v>1</v>
      </c>
      <c r="D507" s="959"/>
      <c r="E507" s="53">
        <f t="shared" si="81"/>
        <v>1</v>
      </c>
      <c r="F507" s="959"/>
      <c r="G507" s="53">
        <f t="shared" si="82"/>
        <v>1</v>
      </c>
      <c r="H507" s="959"/>
      <c r="I507" s="53">
        <f t="shared" si="83"/>
        <v>1</v>
      </c>
      <c r="J507" s="959"/>
      <c r="K507" s="53">
        <f t="shared" si="84"/>
        <v>1</v>
      </c>
      <c r="L507" s="959"/>
      <c r="M507" s="53">
        <f t="shared" si="85"/>
        <v>1</v>
      </c>
      <c r="N507" s="959"/>
      <c r="O507" s="53">
        <f t="shared" si="86"/>
        <v>1</v>
      </c>
      <c r="P507" s="959"/>
      <c r="Q507" s="53">
        <f t="shared" si="87"/>
        <v>1</v>
      </c>
      <c r="R507" s="487">
        <f t="shared" si="88"/>
        <v>0</v>
      </c>
      <c r="S507" s="796">
        <f t="shared" si="89"/>
        <v>0</v>
      </c>
    </row>
    <row r="508" spans="1:19">
      <c r="A508" s="961"/>
      <c r="B508" s="137"/>
      <c r="C508" s="53">
        <f t="shared" si="80"/>
        <v>1</v>
      </c>
      <c r="D508" s="959"/>
      <c r="E508" s="53">
        <f t="shared" si="81"/>
        <v>1</v>
      </c>
      <c r="F508" s="959"/>
      <c r="G508" s="53">
        <f t="shared" si="82"/>
        <v>1</v>
      </c>
      <c r="H508" s="959"/>
      <c r="I508" s="53">
        <f t="shared" si="83"/>
        <v>1</v>
      </c>
      <c r="J508" s="959"/>
      <c r="K508" s="53">
        <f t="shared" si="84"/>
        <v>1</v>
      </c>
      <c r="L508" s="959"/>
      <c r="M508" s="53">
        <f t="shared" si="85"/>
        <v>1</v>
      </c>
      <c r="N508" s="959"/>
      <c r="O508" s="53">
        <f t="shared" si="86"/>
        <v>1</v>
      </c>
      <c r="P508" s="959"/>
      <c r="Q508" s="53">
        <f t="shared" si="87"/>
        <v>1</v>
      </c>
      <c r="R508" s="487">
        <f t="shared" si="88"/>
        <v>0</v>
      </c>
      <c r="S508" s="796">
        <f t="shared" si="89"/>
        <v>0</v>
      </c>
    </row>
    <row r="509" spans="1:19">
      <c r="A509" s="961"/>
      <c r="B509" s="137"/>
      <c r="C509" s="53">
        <f t="shared" si="80"/>
        <v>1</v>
      </c>
      <c r="D509" s="959"/>
      <c r="E509" s="53">
        <f t="shared" si="81"/>
        <v>1</v>
      </c>
      <c r="F509" s="959"/>
      <c r="G509" s="53">
        <f t="shared" si="82"/>
        <v>1</v>
      </c>
      <c r="H509" s="959"/>
      <c r="I509" s="53">
        <f t="shared" si="83"/>
        <v>1</v>
      </c>
      <c r="J509" s="959"/>
      <c r="K509" s="53">
        <f t="shared" si="84"/>
        <v>1</v>
      </c>
      <c r="L509" s="959"/>
      <c r="M509" s="53">
        <f t="shared" si="85"/>
        <v>1</v>
      </c>
      <c r="N509" s="959"/>
      <c r="O509" s="53">
        <f t="shared" si="86"/>
        <v>1</v>
      </c>
      <c r="P509" s="959"/>
      <c r="Q509" s="53">
        <f t="shared" si="87"/>
        <v>1</v>
      </c>
      <c r="R509" s="487">
        <f t="shared" si="88"/>
        <v>0</v>
      </c>
      <c r="S509" s="796">
        <f t="shared" si="89"/>
        <v>0</v>
      </c>
    </row>
    <row r="510" spans="1:19">
      <c r="A510" s="961"/>
      <c r="B510" s="137"/>
      <c r="C510" s="53">
        <f t="shared" si="80"/>
        <v>1</v>
      </c>
      <c r="D510" s="959"/>
      <c r="E510" s="53">
        <f t="shared" si="81"/>
        <v>1</v>
      </c>
      <c r="F510" s="959"/>
      <c r="G510" s="53">
        <f t="shared" si="82"/>
        <v>1</v>
      </c>
      <c r="H510" s="959"/>
      <c r="I510" s="53">
        <f t="shared" si="83"/>
        <v>1</v>
      </c>
      <c r="J510" s="959"/>
      <c r="K510" s="53">
        <f t="shared" si="84"/>
        <v>1</v>
      </c>
      <c r="L510" s="959"/>
      <c r="M510" s="53">
        <f t="shared" si="85"/>
        <v>1</v>
      </c>
      <c r="N510" s="959"/>
      <c r="O510" s="53">
        <f t="shared" si="86"/>
        <v>1</v>
      </c>
      <c r="P510" s="959"/>
      <c r="Q510" s="53">
        <f t="shared" si="87"/>
        <v>1</v>
      </c>
      <c r="R510" s="487">
        <f t="shared" si="88"/>
        <v>0</v>
      </c>
      <c r="S510" s="796">
        <f t="shared" si="89"/>
        <v>0</v>
      </c>
    </row>
    <row r="511" spans="1:19">
      <c r="A511" s="961"/>
      <c r="B511" s="137"/>
      <c r="C511" s="53">
        <f t="shared" si="80"/>
        <v>1</v>
      </c>
      <c r="D511" s="959"/>
      <c r="E511" s="53">
        <f t="shared" si="81"/>
        <v>1</v>
      </c>
      <c r="F511" s="959"/>
      <c r="G511" s="53">
        <f t="shared" si="82"/>
        <v>1</v>
      </c>
      <c r="H511" s="959"/>
      <c r="I511" s="53">
        <f t="shared" si="83"/>
        <v>1</v>
      </c>
      <c r="J511" s="959"/>
      <c r="K511" s="53">
        <f t="shared" si="84"/>
        <v>1</v>
      </c>
      <c r="L511" s="959"/>
      <c r="M511" s="53">
        <f t="shared" si="85"/>
        <v>1</v>
      </c>
      <c r="N511" s="959"/>
      <c r="O511" s="53">
        <f t="shared" si="86"/>
        <v>1</v>
      </c>
      <c r="P511" s="959"/>
      <c r="Q511" s="53">
        <f t="shared" si="87"/>
        <v>1</v>
      </c>
      <c r="R511" s="487">
        <f t="shared" si="88"/>
        <v>0</v>
      </c>
      <c r="S511" s="796">
        <f t="shared" si="89"/>
        <v>0</v>
      </c>
    </row>
    <row r="512" spans="1:19">
      <c r="A512" s="961"/>
      <c r="B512" s="137"/>
      <c r="C512" s="53">
        <f t="shared" si="80"/>
        <v>1</v>
      </c>
      <c r="D512" s="959"/>
      <c r="E512" s="53">
        <f t="shared" si="81"/>
        <v>1</v>
      </c>
      <c r="F512" s="959"/>
      <c r="G512" s="53">
        <f t="shared" si="82"/>
        <v>1</v>
      </c>
      <c r="H512" s="959"/>
      <c r="I512" s="53">
        <f t="shared" si="83"/>
        <v>1</v>
      </c>
      <c r="J512" s="959"/>
      <c r="K512" s="53">
        <f t="shared" si="84"/>
        <v>1</v>
      </c>
      <c r="L512" s="959"/>
      <c r="M512" s="53">
        <f t="shared" si="85"/>
        <v>1</v>
      </c>
      <c r="N512" s="959"/>
      <c r="O512" s="53">
        <f t="shared" si="86"/>
        <v>1</v>
      </c>
      <c r="P512" s="959"/>
      <c r="Q512" s="53">
        <f t="shared" si="87"/>
        <v>1</v>
      </c>
      <c r="R512" s="487">
        <f t="shared" si="88"/>
        <v>0</v>
      </c>
      <c r="S512" s="796">
        <f t="shared" si="89"/>
        <v>0</v>
      </c>
    </row>
    <row r="513" spans="1:19">
      <c r="A513" s="961"/>
      <c r="B513" s="137"/>
      <c r="C513" s="53">
        <f t="shared" si="80"/>
        <v>1</v>
      </c>
      <c r="D513" s="959"/>
      <c r="E513" s="53">
        <f t="shared" si="81"/>
        <v>1</v>
      </c>
      <c r="F513" s="959"/>
      <c r="G513" s="53">
        <f t="shared" si="82"/>
        <v>1</v>
      </c>
      <c r="H513" s="959"/>
      <c r="I513" s="53">
        <f t="shared" si="83"/>
        <v>1</v>
      </c>
      <c r="J513" s="959"/>
      <c r="K513" s="53">
        <f t="shared" si="84"/>
        <v>1</v>
      </c>
      <c r="L513" s="959"/>
      <c r="M513" s="53">
        <f t="shared" si="85"/>
        <v>1</v>
      </c>
      <c r="N513" s="959"/>
      <c r="O513" s="53">
        <f t="shared" si="86"/>
        <v>1</v>
      </c>
      <c r="P513" s="959"/>
      <c r="Q513" s="53">
        <f t="shared" si="87"/>
        <v>1</v>
      </c>
      <c r="R513" s="487">
        <f t="shared" si="88"/>
        <v>0</v>
      </c>
      <c r="S513" s="796">
        <f t="shared" si="89"/>
        <v>0</v>
      </c>
    </row>
    <row r="514" spans="1:19">
      <c r="A514" s="961"/>
      <c r="B514" s="137"/>
      <c r="C514" s="53">
        <f t="shared" si="80"/>
        <v>1</v>
      </c>
      <c r="D514" s="959"/>
      <c r="E514" s="53">
        <f t="shared" si="81"/>
        <v>1</v>
      </c>
      <c r="F514" s="959"/>
      <c r="G514" s="53">
        <f t="shared" si="82"/>
        <v>1</v>
      </c>
      <c r="H514" s="959"/>
      <c r="I514" s="53">
        <f t="shared" si="83"/>
        <v>1</v>
      </c>
      <c r="J514" s="959"/>
      <c r="K514" s="53">
        <f t="shared" si="84"/>
        <v>1</v>
      </c>
      <c r="L514" s="959"/>
      <c r="M514" s="53">
        <f t="shared" si="85"/>
        <v>1</v>
      </c>
      <c r="N514" s="959"/>
      <c r="O514" s="53">
        <f t="shared" si="86"/>
        <v>1</v>
      </c>
      <c r="P514" s="959"/>
      <c r="Q514" s="53">
        <f t="shared" si="87"/>
        <v>1</v>
      </c>
      <c r="R514" s="487">
        <f t="shared" si="88"/>
        <v>0</v>
      </c>
      <c r="S514" s="796">
        <f t="shared" si="89"/>
        <v>0</v>
      </c>
    </row>
    <row r="515" spans="1:19">
      <c r="A515" s="961"/>
      <c r="B515" s="137"/>
      <c r="C515" s="53">
        <f t="shared" si="80"/>
        <v>1</v>
      </c>
      <c r="D515" s="959"/>
      <c r="E515" s="53">
        <f t="shared" si="81"/>
        <v>1</v>
      </c>
      <c r="F515" s="959"/>
      <c r="G515" s="53">
        <f t="shared" si="82"/>
        <v>1</v>
      </c>
      <c r="H515" s="959"/>
      <c r="I515" s="53">
        <f t="shared" si="83"/>
        <v>1</v>
      </c>
      <c r="J515" s="959"/>
      <c r="K515" s="53">
        <f t="shared" si="84"/>
        <v>1</v>
      </c>
      <c r="L515" s="959"/>
      <c r="M515" s="53">
        <f t="shared" si="85"/>
        <v>1</v>
      </c>
      <c r="N515" s="959"/>
      <c r="O515" s="53">
        <f t="shared" si="86"/>
        <v>1</v>
      </c>
      <c r="P515" s="959"/>
      <c r="Q515" s="53">
        <f t="shared" si="87"/>
        <v>1</v>
      </c>
      <c r="R515" s="487">
        <f t="shared" si="88"/>
        <v>0</v>
      </c>
      <c r="S515" s="796">
        <f t="shared" si="89"/>
        <v>0</v>
      </c>
    </row>
    <row r="516" spans="1:19">
      <c r="A516" s="961"/>
      <c r="B516" s="137"/>
      <c r="C516" s="53">
        <f t="shared" si="80"/>
        <v>1</v>
      </c>
      <c r="D516" s="959"/>
      <c r="E516" s="53">
        <f t="shared" si="81"/>
        <v>1</v>
      </c>
      <c r="F516" s="959"/>
      <c r="G516" s="53">
        <f t="shared" si="82"/>
        <v>1</v>
      </c>
      <c r="H516" s="959"/>
      <c r="I516" s="53">
        <f t="shared" si="83"/>
        <v>1</v>
      </c>
      <c r="J516" s="959"/>
      <c r="K516" s="53">
        <f t="shared" si="84"/>
        <v>1</v>
      </c>
      <c r="L516" s="959"/>
      <c r="M516" s="53">
        <f t="shared" si="85"/>
        <v>1</v>
      </c>
      <c r="N516" s="959"/>
      <c r="O516" s="53">
        <f t="shared" si="86"/>
        <v>1</v>
      </c>
      <c r="P516" s="959"/>
      <c r="Q516" s="53">
        <f t="shared" si="87"/>
        <v>1</v>
      </c>
      <c r="R516" s="487">
        <f t="shared" si="88"/>
        <v>0</v>
      </c>
      <c r="S516" s="796">
        <f t="shared" si="89"/>
        <v>0</v>
      </c>
    </row>
    <row r="517" spans="1:19">
      <c r="A517" s="961"/>
      <c r="B517" s="137"/>
      <c r="C517" s="53">
        <f t="shared" si="80"/>
        <v>1</v>
      </c>
      <c r="D517" s="959"/>
      <c r="E517" s="53">
        <f t="shared" si="81"/>
        <v>1</v>
      </c>
      <c r="F517" s="959"/>
      <c r="G517" s="53">
        <f t="shared" si="82"/>
        <v>1</v>
      </c>
      <c r="H517" s="959"/>
      <c r="I517" s="53">
        <f t="shared" si="83"/>
        <v>1</v>
      </c>
      <c r="J517" s="959"/>
      <c r="K517" s="53">
        <f t="shared" si="84"/>
        <v>1</v>
      </c>
      <c r="L517" s="959"/>
      <c r="M517" s="53">
        <f t="shared" si="85"/>
        <v>1</v>
      </c>
      <c r="N517" s="959"/>
      <c r="O517" s="53">
        <f t="shared" si="86"/>
        <v>1</v>
      </c>
      <c r="P517" s="959"/>
      <c r="Q517" s="53">
        <f t="shared" si="87"/>
        <v>1</v>
      </c>
      <c r="R517" s="487">
        <f t="shared" si="88"/>
        <v>0</v>
      </c>
      <c r="S517" s="796">
        <f t="shared" si="89"/>
        <v>0</v>
      </c>
    </row>
    <row r="518" spans="1:19">
      <c r="A518" s="961"/>
      <c r="B518" s="137"/>
      <c r="C518" s="53">
        <f t="shared" si="80"/>
        <v>1</v>
      </c>
      <c r="D518" s="959"/>
      <c r="E518" s="53">
        <f t="shared" si="81"/>
        <v>1</v>
      </c>
      <c r="F518" s="959"/>
      <c r="G518" s="53">
        <f t="shared" si="82"/>
        <v>1</v>
      </c>
      <c r="H518" s="959"/>
      <c r="I518" s="53">
        <f t="shared" si="83"/>
        <v>1</v>
      </c>
      <c r="J518" s="959"/>
      <c r="K518" s="53">
        <f t="shared" si="84"/>
        <v>1</v>
      </c>
      <c r="L518" s="959"/>
      <c r="M518" s="53">
        <f t="shared" si="85"/>
        <v>1</v>
      </c>
      <c r="N518" s="959"/>
      <c r="O518" s="53">
        <f t="shared" si="86"/>
        <v>1</v>
      </c>
      <c r="P518" s="959"/>
      <c r="Q518" s="53">
        <f t="shared" si="87"/>
        <v>1</v>
      </c>
      <c r="R518" s="487">
        <f t="shared" si="88"/>
        <v>0</v>
      </c>
      <c r="S518" s="796">
        <f t="shared" si="89"/>
        <v>0</v>
      </c>
    </row>
    <row r="519" spans="1:19">
      <c r="A519" s="961"/>
      <c r="B519" s="137"/>
      <c r="C519" s="53">
        <f t="shared" si="80"/>
        <v>1</v>
      </c>
      <c r="D519" s="959"/>
      <c r="E519" s="53">
        <f t="shared" si="81"/>
        <v>1</v>
      </c>
      <c r="F519" s="959"/>
      <c r="G519" s="53">
        <f t="shared" si="82"/>
        <v>1</v>
      </c>
      <c r="H519" s="959"/>
      <c r="I519" s="53">
        <f t="shared" si="83"/>
        <v>1</v>
      </c>
      <c r="J519" s="959"/>
      <c r="K519" s="53">
        <f t="shared" si="84"/>
        <v>1</v>
      </c>
      <c r="L519" s="959"/>
      <c r="M519" s="53">
        <f t="shared" si="85"/>
        <v>1</v>
      </c>
      <c r="N519" s="959"/>
      <c r="O519" s="53">
        <f t="shared" si="86"/>
        <v>1</v>
      </c>
      <c r="P519" s="959"/>
      <c r="Q519" s="53">
        <f t="shared" si="87"/>
        <v>1</v>
      </c>
      <c r="R519" s="487">
        <f t="shared" si="88"/>
        <v>0</v>
      </c>
      <c r="S519" s="796">
        <f t="shared" si="89"/>
        <v>0</v>
      </c>
    </row>
    <row r="520" spans="1:19">
      <c r="A520" s="961"/>
      <c r="B520" s="137"/>
      <c r="C520" s="53">
        <f t="shared" si="80"/>
        <v>1</v>
      </c>
      <c r="D520" s="959"/>
      <c r="E520" s="53">
        <f t="shared" si="81"/>
        <v>1</v>
      </c>
      <c r="F520" s="959"/>
      <c r="G520" s="53">
        <f t="shared" si="82"/>
        <v>1</v>
      </c>
      <c r="H520" s="959"/>
      <c r="I520" s="53">
        <f t="shared" si="83"/>
        <v>1</v>
      </c>
      <c r="J520" s="959"/>
      <c r="K520" s="53">
        <f t="shared" si="84"/>
        <v>1</v>
      </c>
      <c r="L520" s="959"/>
      <c r="M520" s="53">
        <f t="shared" si="85"/>
        <v>1</v>
      </c>
      <c r="N520" s="959"/>
      <c r="O520" s="53">
        <f t="shared" si="86"/>
        <v>1</v>
      </c>
      <c r="P520" s="959"/>
      <c r="Q520" s="53">
        <f t="shared" si="87"/>
        <v>1</v>
      </c>
      <c r="R520" s="487">
        <f t="shared" si="88"/>
        <v>0</v>
      </c>
      <c r="S520" s="796">
        <f t="shared" si="89"/>
        <v>0</v>
      </c>
    </row>
    <row r="521" spans="1:19">
      <c r="A521" s="961"/>
      <c r="B521" s="137"/>
      <c r="C521" s="53">
        <f t="shared" si="80"/>
        <v>1</v>
      </c>
      <c r="D521" s="959"/>
      <c r="E521" s="53">
        <f t="shared" si="81"/>
        <v>1</v>
      </c>
      <c r="F521" s="959"/>
      <c r="G521" s="53">
        <f t="shared" si="82"/>
        <v>1</v>
      </c>
      <c r="H521" s="959"/>
      <c r="I521" s="53">
        <f t="shared" si="83"/>
        <v>1</v>
      </c>
      <c r="J521" s="959"/>
      <c r="K521" s="53">
        <f t="shared" si="84"/>
        <v>1</v>
      </c>
      <c r="L521" s="959"/>
      <c r="M521" s="53">
        <f t="shared" si="85"/>
        <v>1</v>
      </c>
      <c r="N521" s="959"/>
      <c r="O521" s="53">
        <f t="shared" si="86"/>
        <v>1</v>
      </c>
      <c r="P521" s="959"/>
      <c r="Q521" s="53">
        <f t="shared" si="87"/>
        <v>1</v>
      </c>
      <c r="R521" s="487">
        <f t="shared" si="88"/>
        <v>0</v>
      </c>
      <c r="S521" s="796">
        <f t="shared" si="89"/>
        <v>0</v>
      </c>
    </row>
    <row r="522" spans="1:19">
      <c r="A522" s="961"/>
      <c r="B522" s="137"/>
      <c r="C522" s="53">
        <f t="shared" si="80"/>
        <v>1</v>
      </c>
      <c r="D522" s="959"/>
      <c r="E522" s="53">
        <f t="shared" si="81"/>
        <v>1</v>
      </c>
      <c r="F522" s="959"/>
      <c r="G522" s="53">
        <f t="shared" si="82"/>
        <v>1</v>
      </c>
      <c r="H522" s="959"/>
      <c r="I522" s="53">
        <f t="shared" si="83"/>
        <v>1</v>
      </c>
      <c r="J522" s="959"/>
      <c r="K522" s="53">
        <f t="shared" si="84"/>
        <v>1</v>
      </c>
      <c r="L522" s="959"/>
      <c r="M522" s="53">
        <f t="shared" si="85"/>
        <v>1</v>
      </c>
      <c r="N522" s="959"/>
      <c r="O522" s="53">
        <f t="shared" si="86"/>
        <v>1</v>
      </c>
      <c r="P522" s="959"/>
      <c r="Q522" s="53">
        <f t="shared" si="87"/>
        <v>1</v>
      </c>
      <c r="R522" s="487">
        <f t="shared" si="88"/>
        <v>0</v>
      </c>
      <c r="S522" s="796">
        <f t="shared" si="89"/>
        <v>0</v>
      </c>
    </row>
    <row r="523" spans="1:19">
      <c r="A523" s="961"/>
      <c r="B523" s="137"/>
      <c r="C523" s="53">
        <f t="shared" si="80"/>
        <v>1</v>
      </c>
      <c r="D523" s="959"/>
      <c r="E523" s="53">
        <f t="shared" si="81"/>
        <v>1</v>
      </c>
      <c r="F523" s="959"/>
      <c r="G523" s="53">
        <f t="shared" si="82"/>
        <v>1</v>
      </c>
      <c r="H523" s="959"/>
      <c r="I523" s="53">
        <f t="shared" si="83"/>
        <v>1</v>
      </c>
      <c r="J523" s="959"/>
      <c r="K523" s="53">
        <f t="shared" si="84"/>
        <v>1</v>
      </c>
      <c r="L523" s="959"/>
      <c r="M523" s="53">
        <f t="shared" si="85"/>
        <v>1</v>
      </c>
      <c r="N523" s="959"/>
      <c r="O523" s="53">
        <f t="shared" si="86"/>
        <v>1</v>
      </c>
      <c r="P523" s="959"/>
      <c r="Q523" s="53">
        <f t="shared" si="87"/>
        <v>1</v>
      </c>
      <c r="R523" s="487">
        <f t="shared" si="88"/>
        <v>0</v>
      </c>
      <c r="S523" s="796">
        <f t="shared" si="89"/>
        <v>0</v>
      </c>
    </row>
    <row r="524" spans="1:19">
      <c r="A524" s="961"/>
      <c r="B524" s="137"/>
      <c r="C524" s="53">
        <f t="shared" si="80"/>
        <v>1</v>
      </c>
      <c r="D524" s="959"/>
      <c r="E524" s="53">
        <f t="shared" si="81"/>
        <v>1</v>
      </c>
      <c r="F524" s="959"/>
      <c r="G524" s="53">
        <f t="shared" si="82"/>
        <v>1</v>
      </c>
      <c r="H524" s="959"/>
      <c r="I524" s="53">
        <f t="shared" si="83"/>
        <v>1</v>
      </c>
      <c r="J524" s="959"/>
      <c r="K524" s="53">
        <f t="shared" si="84"/>
        <v>1</v>
      </c>
      <c r="L524" s="959"/>
      <c r="M524" s="53">
        <f t="shared" si="85"/>
        <v>1</v>
      </c>
      <c r="N524" s="959"/>
      <c r="O524" s="53">
        <f t="shared" si="86"/>
        <v>1</v>
      </c>
      <c r="P524" s="959"/>
      <c r="Q524" s="53">
        <f t="shared" si="87"/>
        <v>1</v>
      </c>
      <c r="R524" s="487">
        <f t="shared" si="88"/>
        <v>0</v>
      </c>
      <c r="S524" s="796">
        <f t="shared" si="89"/>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4"/>
  <cols>
    <col min="1" max="1" width="4.88671875" style="2890" customWidth="1"/>
    <col min="2" max="2" width="13.21875" style="2896" customWidth="1"/>
    <col min="3" max="3" width="15.6640625" style="2896" customWidth="1"/>
    <col min="4" max="4" width="9.33203125" style="2896" bestFit="1" customWidth="1"/>
    <col min="5" max="5" width="13.44140625" style="2896" customWidth="1"/>
    <col min="6" max="6" width="9" style="2896"/>
    <col min="7" max="7" width="9.33203125" style="2896" bestFit="1" customWidth="1"/>
    <col min="8" max="9" width="9" style="2896"/>
    <col min="10" max="10" width="9.33203125" style="2896" bestFit="1" customWidth="1"/>
    <col min="11" max="11" width="4" style="2890" customWidth="1"/>
    <col min="12" max="12" width="5.109375" style="2896" customWidth="1"/>
    <col min="13" max="13" width="13.77734375" style="2896" customWidth="1"/>
    <col min="14" max="256" width="9" style="2896"/>
    <col min="257" max="257" width="4.88671875" style="2888" customWidth="1"/>
    <col min="258" max="258" width="13.21875" style="2888" customWidth="1"/>
    <col min="259" max="259" width="15.6640625" style="2888" customWidth="1"/>
    <col min="260" max="260" width="9.33203125" style="2888" bestFit="1" customWidth="1"/>
    <col min="261" max="261" width="13.44140625" style="2888" customWidth="1"/>
    <col min="262" max="262" width="9" style="2888"/>
    <col min="263" max="263" width="9.33203125" style="2888" bestFit="1" customWidth="1"/>
    <col min="264" max="265" width="9" style="2888"/>
    <col min="266" max="266" width="9.33203125" style="2888" bestFit="1" customWidth="1"/>
    <col min="267" max="267" width="4" style="2888" customWidth="1"/>
    <col min="268" max="268" width="5.109375" style="2888" customWidth="1"/>
    <col min="269" max="269" width="13.77734375" style="2888" customWidth="1"/>
    <col min="270" max="512" width="9" style="2888"/>
    <col min="513" max="513" width="4.88671875" style="2888" customWidth="1"/>
    <col min="514" max="514" width="13.21875" style="2888" customWidth="1"/>
    <col min="515" max="515" width="15.6640625" style="2888" customWidth="1"/>
    <col min="516" max="516" width="9.33203125" style="2888" bestFit="1" customWidth="1"/>
    <col min="517" max="517" width="13.44140625" style="2888" customWidth="1"/>
    <col min="518" max="518" width="9" style="2888"/>
    <col min="519" max="519" width="9.33203125" style="2888" bestFit="1" customWidth="1"/>
    <col min="520" max="521" width="9" style="2888"/>
    <col min="522" max="522" width="9.33203125" style="2888" bestFit="1" customWidth="1"/>
    <col min="523" max="523" width="4" style="2888" customWidth="1"/>
    <col min="524" max="524" width="5.109375" style="2888" customWidth="1"/>
    <col min="525" max="525" width="13.77734375" style="2888" customWidth="1"/>
    <col min="526" max="768" width="9" style="2888"/>
    <col min="769" max="769" width="4.88671875" style="2888" customWidth="1"/>
    <col min="770" max="770" width="13.21875" style="2888" customWidth="1"/>
    <col min="771" max="771" width="15.6640625" style="2888" customWidth="1"/>
    <col min="772" max="772" width="9.33203125" style="2888" bestFit="1" customWidth="1"/>
    <col min="773" max="773" width="13.44140625" style="2888" customWidth="1"/>
    <col min="774" max="774" width="9" style="2888"/>
    <col min="775" max="775" width="9.33203125" style="2888" bestFit="1" customWidth="1"/>
    <col min="776" max="777" width="9" style="2888"/>
    <col min="778" max="778" width="9.33203125" style="2888" bestFit="1" customWidth="1"/>
    <col min="779" max="779" width="4" style="2888" customWidth="1"/>
    <col min="780" max="780" width="5.109375" style="2888" customWidth="1"/>
    <col min="781" max="781" width="13.77734375" style="2888" customWidth="1"/>
    <col min="782" max="1024" width="9" style="2888"/>
    <col min="1025" max="1025" width="4.88671875" style="2888" customWidth="1"/>
    <col min="1026" max="1026" width="13.21875" style="2888" customWidth="1"/>
    <col min="1027" max="1027" width="15.6640625" style="2888" customWidth="1"/>
    <col min="1028" max="1028" width="9.33203125" style="2888" bestFit="1" customWidth="1"/>
    <col min="1029" max="1029" width="13.44140625" style="2888" customWidth="1"/>
    <col min="1030" max="1030" width="9" style="2888"/>
    <col min="1031" max="1031" width="9.33203125" style="2888" bestFit="1" customWidth="1"/>
    <col min="1032" max="1033" width="9" style="2888"/>
    <col min="1034" max="1034" width="9.33203125" style="2888" bestFit="1" customWidth="1"/>
    <col min="1035" max="1035" width="4" style="2888" customWidth="1"/>
    <col min="1036" max="1036" width="5.109375" style="2888" customWidth="1"/>
    <col min="1037" max="1037" width="13.77734375" style="2888" customWidth="1"/>
    <col min="1038" max="1280" width="9" style="2888"/>
    <col min="1281" max="1281" width="4.88671875" style="2888" customWidth="1"/>
    <col min="1282" max="1282" width="13.21875" style="2888" customWidth="1"/>
    <col min="1283" max="1283" width="15.6640625" style="2888" customWidth="1"/>
    <col min="1284" max="1284" width="9.33203125" style="2888" bestFit="1" customWidth="1"/>
    <col min="1285" max="1285" width="13.44140625" style="2888" customWidth="1"/>
    <col min="1286" max="1286" width="9" style="2888"/>
    <col min="1287" max="1287" width="9.33203125" style="2888" bestFit="1" customWidth="1"/>
    <col min="1288" max="1289" width="9" style="2888"/>
    <col min="1290" max="1290" width="9.33203125" style="2888" bestFit="1" customWidth="1"/>
    <col min="1291" max="1291" width="4" style="2888" customWidth="1"/>
    <col min="1292" max="1292" width="5.109375" style="2888" customWidth="1"/>
    <col min="1293" max="1293" width="13.77734375" style="2888" customWidth="1"/>
    <col min="1294" max="1536" width="9" style="2888"/>
    <col min="1537" max="1537" width="4.88671875" style="2888" customWidth="1"/>
    <col min="1538" max="1538" width="13.21875" style="2888" customWidth="1"/>
    <col min="1539" max="1539" width="15.6640625" style="2888" customWidth="1"/>
    <col min="1540" max="1540" width="9.33203125" style="2888" bestFit="1" customWidth="1"/>
    <col min="1541" max="1541" width="13.44140625" style="2888" customWidth="1"/>
    <col min="1542" max="1542" width="9" style="2888"/>
    <col min="1543" max="1543" width="9.33203125" style="2888" bestFit="1" customWidth="1"/>
    <col min="1544" max="1545" width="9" style="2888"/>
    <col min="1546" max="1546" width="9.33203125" style="2888" bestFit="1" customWidth="1"/>
    <col min="1547" max="1547" width="4" style="2888" customWidth="1"/>
    <col min="1548" max="1548" width="5.109375" style="2888" customWidth="1"/>
    <col min="1549" max="1549" width="13.77734375" style="2888" customWidth="1"/>
    <col min="1550" max="1792" width="9" style="2888"/>
    <col min="1793" max="1793" width="4.88671875" style="2888" customWidth="1"/>
    <col min="1794" max="1794" width="13.21875" style="2888" customWidth="1"/>
    <col min="1795" max="1795" width="15.6640625" style="2888" customWidth="1"/>
    <col min="1796" max="1796" width="9.33203125" style="2888" bestFit="1" customWidth="1"/>
    <col min="1797" max="1797" width="13.44140625" style="2888" customWidth="1"/>
    <col min="1798" max="1798" width="9" style="2888"/>
    <col min="1799" max="1799" width="9.33203125" style="2888" bestFit="1" customWidth="1"/>
    <col min="1800" max="1801" width="9" style="2888"/>
    <col min="1802" max="1802" width="9.33203125" style="2888" bestFit="1" customWidth="1"/>
    <col min="1803" max="1803" width="4" style="2888" customWidth="1"/>
    <col min="1804" max="1804" width="5.109375" style="2888" customWidth="1"/>
    <col min="1805" max="1805" width="13.77734375" style="2888" customWidth="1"/>
    <col min="1806" max="2048" width="9" style="2888"/>
    <col min="2049" max="2049" width="4.88671875" style="2888" customWidth="1"/>
    <col min="2050" max="2050" width="13.21875" style="2888" customWidth="1"/>
    <col min="2051" max="2051" width="15.6640625" style="2888" customWidth="1"/>
    <col min="2052" max="2052" width="9.33203125" style="2888" bestFit="1" customWidth="1"/>
    <col min="2053" max="2053" width="13.44140625" style="2888" customWidth="1"/>
    <col min="2054" max="2054" width="9" style="2888"/>
    <col min="2055" max="2055" width="9.33203125" style="2888" bestFit="1" customWidth="1"/>
    <col min="2056" max="2057" width="9" style="2888"/>
    <col min="2058" max="2058" width="9.33203125" style="2888" bestFit="1" customWidth="1"/>
    <col min="2059" max="2059" width="4" style="2888" customWidth="1"/>
    <col min="2060" max="2060" width="5.109375" style="2888" customWidth="1"/>
    <col min="2061" max="2061" width="13.77734375" style="2888" customWidth="1"/>
    <col min="2062" max="2304" width="9" style="2888"/>
    <col min="2305" max="2305" width="4.88671875" style="2888" customWidth="1"/>
    <col min="2306" max="2306" width="13.21875" style="2888" customWidth="1"/>
    <col min="2307" max="2307" width="15.6640625" style="2888" customWidth="1"/>
    <col min="2308" max="2308" width="9.33203125" style="2888" bestFit="1" customWidth="1"/>
    <col min="2309" max="2309" width="13.44140625" style="2888" customWidth="1"/>
    <col min="2310" max="2310" width="9" style="2888"/>
    <col min="2311" max="2311" width="9.33203125" style="2888" bestFit="1" customWidth="1"/>
    <col min="2312" max="2313" width="9" style="2888"/>
    <col min="2314" max="2314" width="9.33203125" style="2888" bestFit="1" customWidth="1"/>
    <col min="2315" max="2315" width="4" style="2888" customWidth="1"/>
    <col min="2316" max="2316" width="5.109375" style="2888" customWidth="1"/>
    <col min="2317" max="2317" width="13.77734375" style="2888" customWidth="1"/>
    <col min="2318" max="2560" width="9" style="2888"/>
    <col min="2561" max="2561" width="4.88671875" style="2888" customWidth="1"/>
    <col min="2562" max="2562" width="13.21875" style="2888" customWidth="1"/>
    <col min="2563" max="2563" width="15.6640625" style="2888" customWidth="1"/>
    <col min="2564" max="2564" width="9.33203125" style="2888" bestFit="1" customWidth="1"/>
    <col min="2565" max="2565" width="13.44140625" style="2888" customWidth="1"/>
    <col min="2566" max="2566" width="9" style="2888"/>
    <col min="2567" max="2567" width="9.33203125" style="2888" bestFit="1" customWidth="1"/>
    <col min="2568" max="2569" width="9" style="2888"/>
    <col min="2570" max="2570" width="9.33203125" style="2888" bestFit="1" customWidth="1"/>
    <col min="2571" max="2571" width="4" style="2888" customWidth="1"/>
    <col min="2572" max="2572" width="5.109375" style="2888" customWidth="1"/>
    <col min="2573" max="2573" width="13.77734375" style="2888" customWidth="1"/>
    <col min="2574" max="2816" width="9" style="2888"/>
    <col min="2817" max="2817" width="4.88671875" style="2888" customWidth="1"/>
    <col min="2818" max="2818" width="13.21875" style="2888" customWidth="1"/>
    <col min="2819" max="2819" width="15.6640625" style="2888" customWidth="1"/>
    <col min="2820" max="2820" width="9.33203125" style="2888" bestFit="1" customWidth="1"/>
    <col min="2821" max="2821" width="13.44140625" style="2888" customWidth="1"/>
    <col min="2822" max="2822" width="9" style="2888"/>
    <col min="2823" max="2823" width="9.33203125" style="2888" bestFit="1" customWidth="1"/>
    <col min="2824" max="2825" width="9" style="2888"/>
    <col min="2826" max="2826" width="9.33203125" style="2888" bestFit="1" customWidth="1"/>
    <col min="2827" max="2827" width="4" style="2888" customWidth="1"/>
    <col min="2828" max="2828" width="5.109375" style="2888" customWidth="1"/>
    <col min="2829" max="2829" width="13.77734375" style="2888" customWidth="1"/>
    <col min="2830" max="3072" width="9" style="2888"/>
    <col min="3073" max="3073" width="4.88671875" style="2888" customWidth="1"/>
    <col min="3074" max="3074" width="13.21875" style="2888" customWidth="1"/>
    <col min="3075" max="3075" width="15.6640625" style="2888" customWidth="1"/>
    <col min="3076" max="3076" width="9.33203125" style="2888" bestFit="1" customWidth="1"/>
    <col min="3077" max="3077" width="13.44140625" style="2888" customWidth="1"/>
    <col min="3078" max="3078" width="9" style="2888"/>
    <col min="3079" max="3079" width="9.33203125" style="2888" bestFit="1" customWidth="1"/>
    <col min="3080" max="3081" width="9" style="2888"/>
    <col min="3082" max="3082" width="9.33203125" style="2888" bestFit="1" customWidth="1"/>
    <col min="3083" max="3083" width="4" style="2888" customWidth="1"/>
    <col min="3084" max="3084" width="5.109375" style="2888" customWidth="1"/>
    <col min="3085" max="3085" width="13.77734375" style="2888" customWidth="1"/>
    <col min="3086" max="3328" width="9" style="2888"/>
    <col min="3329" max="3329" width="4.88671875" style="2888" customWidth="1"/>
    <col min="3330" max="3330" width="13.21875" style="2888" customWidth="1"/>
    <col min="3331" max="3331" width="15.6640625" style="2888" customWidth="1"/>
    <col min="3332" max="3332" width="9.33203125" style="2888" bestFit="1" customWidth="1"/>
    <col min="3333" max="3333" width="13.44140625" style="2888" customWidth="1"/>
    <col min="3334" max="3334" width="9" style="2888"/>
    <col min="3335" max="3335" width="9.33203125" style="2888" bestFit="1" customWidth="1"/>
    <col min="3336" max="3337" width="9" style="2888"/>
    <col min="3338" max="3338" width="9.33203125" style="2888" bestFit="1" customWidth="1"/>
    <col min="3339" max="3339" width="4" style="2888" customWidth="1"/>
    <col min="3340" max="3340" width="5.109375" style="2888" customWidth="1"/>
    <col min="3341" max="3341" width="13.77734375" style="2888" customWidth="1"/>
    <col min="3342" max="3584" width="9" style="2888"/>
    <col min="3585" max="3585" width="4.88671875" style="2888" customWidth="1"/>
    <col min="3586" max="3586" width="13.21875" style="2888" customWidth="1"/>
    <col min="3587" max="3587" width="15.6640625" style="2888" customWidth="1"/>
    <col min="3588" max="3588" width="9.33203125" style="2888" bestFit="1" customWidth="1"/>
    <col min="3589" max="3589" width="13.44140625" style="2888" customWidth="1"/>
    <col min="3590" max="3590" width="9" style="2888"/>
    <col min="3591" max="3591" width="9.33203125" style="2888" bestFit="1" customWidth="1"/>
    <col min="3592" max="3593" width="9" style="2888"/>
    <col min="3594" max="3594" width="9.33203125" style="2888" bestFit="1" customWidth="1"/>
    <col min="3595" max="3595" width="4" style="2888" customWidth="1"/>
    <col min="3596" max="3596" width="5.109375" style="2888" customWidth="1"/>
    <col min="3597" max="3597" width="13.77734375" style="2888" customWidth="1"/>
    <col min="3598" max="3840" width="9" style="2888"/>
    <col min="3841" max="3841" width="4.88671875" style="2888" customWidth="1"/>
    <col min="3842" max="3842" width="13.21875" style="2888" customWidth="1"/>
    <col min="3843" max="3843" width="15.6640625" style="2888" customWidth="1"/>
    <col min="3844" max="3844" width="9.33203125" style="2888" bestFit="1" customWidth="1"/>
    <col min="3845" max="3845" width="13.44140625" style="2888" customWidth="1"/>
    <col min="3846" max="3846" width="9" style="2888"/>
    <col min="3847" max="3847" width="9.33203125" style="2888" bestFit="1" customWidth="1"/>
    <col min="3848" max="3849" width="9" style="2888"/>
    <col min="3850" max="3850" width="9.33203125" style="2888" bestFit="1" customWidth="1"/>
    <col min="3851" max="3851" width="4" style="2888" customWidth="1"/>
    <col min="3852" max="3852" width="5.109375" style="2888" customWidth="1"/>
    <col min="3853" max="3853" width="13.77734375" style="2888" customWidth="1"/>
    <col min="3854" max="4096" width="9" style="2888"/>
    <col min="4097" max="4097" width="4.88671875" style="2888" customWidth="1"/>
    <col min="4098" max="4098" width="13.21875" style="2888" customWidth="1"/>
    <col min="4099" max="4099" width="15.6640625" style="2888" customWidth="1"/>
    <col min="4100" max="4100" width="9.33203125" style="2888" bestFit="1" customWidth="1"/>
    <col min="4101" max="4101" width="13.44140625" style="2888" customWidth="1"/>
    <col min="4102" max="4102" width="9" style="2888"/>
    <col min="4103" max="4103" width="9.33203125" style="2888" bestFit="1" customWidth="1"/>
    <col min="4104" max="4105" width="9" style="2888"/>
    <col min="4106" max="4106" width="9.33203125" style="2888" bestFit="1" customWidth="1"/>
    <col min="4107" max="4107" width="4" style="2888" customWidth="1"/>
    <col min="4108" max="4108" width="5.109375" style="2888" customWidth="1"/>
    <col min="4109" max="4109" width="13.77734375" style="2888" customWidth="1"/>
    <col min="4110" max="4352" width="9" style="2888"/>
    <col min="4353" max="4353" width="4.88671875" style="2888" customWidth="1"/>
    <col min="4354" max="4354" width="13.21875" style="2888" customWidth="1"/>
    <col min="4355" max="4355" width="15.6640625" style="2888" customWidth="1"/>
    <col min="4356" max="4356" width="9.33203125" style="2888" bestFit="1" customWidth="1"/>
    <col min="4357" max="4357" width="13.44140625" style="2888" customWidth="1"/>
    <col min="4358" max="4358" width="9" style="2888"/>
    <col min="4359" max="4359" width="9.33203125" style="2888" bestFit="1" customWidth="1"/>
    <col min="4360" max="4361" width="9" style="2888"/>
    <col min="4362" max="4362" width="9.33203125" style="2888" bestFit="1" customWidth="1"/>
    <col min="4363" max="4363" width="4" style="2888" customWidth="1"/>
    <col min="4364" max="4364" width="5.109375" style="2888" customWidth="1"/>
    <col min="4365" max="4365" width="13.77734375" style="2888" customWidth="1"/>
    <col min="4366" max="4608" width="9" style="2888"/>
    <col min="4609" max="4609" width="4.88671875" style="2888" customWidth="1"/>
    <col min="4610" max="4610" width="13.21875" style="2888" customWidth="1"/>
    <col min="4611" max="4611" width="15.6640625" style="2888" customWidth="1"/>
    <col min="4612" max="4612" width="9.33203125" style="2888" bestFit="1" customWidth="1"/>
    <col min="4613" max="4613" width="13.44140625" style="2888" customWidth="1"/>
    <col min="4614" max="4614" width="9" style="2888"/>
    <col min="4615" max="4615" width="9.33203125" style="2888" bestFit="1" customWidth="1"/>
    <col min="4616" max="4617" width="9" style="2888"/>
    <col min="4618" max="4618" width="9.33203125" style="2888" bestFit="1" customWidth="1"/>
    <col min="4619" max="4619" width="4" style="2888" customWidth="1"/>
    <col min="4620" max="4620" width="5.109375" style="2888" customWidth="1"/>
    <col min="4621" max="4621" width="13.77734375" style="2888" customWidth="1"/>
    <col min="4622" max="4864" width="9" style="2888"/>
    <col min="4865" max="4865" width="4.88671875" style="2888" customWidth="1"/>
    <col min="4866" max="4866" width="13.21875" style="2888" customWidth="1"/>
    <col min="4867" max="4867" width="15.6640625" style="2888" customWidth="1"/>
    <col min="4868" max="4868" width="9.33203125" style="2888" bestFit="1" customWidth="1"/>
    <col min="4869" max="4869" width="13.44140625" style="2888" customWidth="1"/>
    <col min="4870" max="4870" width="9" style="2888"/>
    <col min="4871" max="4871" width="9.33203125" style="2888" bestFit="1" customWidth="1"/>
    <col min="4872" max="4873" width="9" style="2888"/>
    <col min="4874" max="4874" width="9.33203125" style="2888" bestFit="1" customWidth="1"/>
    <col min="4875" max="4875" width="4" style="2888" customWidth="1"/>
    <col min="4876" max="4876" width="5.109375" style="2888" customWidth="1"/>
    <col min="4877" max="4877" width="13.77734375" style="2888" customWidth="1"/>
    <col min="4878" max="5120" width="9" style="2888"/>
    <col min="5121" max="5121" width="4.88671875" style="2888" customWidth="1"/>
    <col min="5122" max="5122" width="13.21875" style="2888" customWidth="1"/>
    <col min="5123" max="5123" width="15.6640625" style="2888" customWidth="1"/>
    <col min="5124" max="5124" width="9.33203125" style="2888" bestFit="1" customWidth="1"/>
    <col min="5125" max="5125" width="13.44140625" style="2888" customWidth="1"/>
    <col min="5126" max="5126" width="9" style="2888"/>
    <col min="5127" max="5127" width="9.33203125" style="2888" bestFit="1" customWidth="1"/>
    <col min="5128" max="5129" width="9" style="2888"/>
    <col min="5130" max="5130" width="9.33203125" style="2888" bestFit="1" customWidth="1"/>
    <col min="5131" max="5131" width="4" style="2888" customWidth="1"/>
    <col min="5132" max="5132" width="5.109375" style="2888" customWidth="1"/>
    <col min="5133" max="5133" width="13.77734375" style="2888" customWidth="1"/>
    <col min="5134" max="5376" width="9" style="2888"/>
    <col min="5377" max="5377" width="4.88671875" style="2888" customWidth="1"/>
    <col min="5378" max="5378" width="13.21875" style="2888" customWidth="1"/>
    <col min="5379" max="5379" width="15.6640625" style="2888" customWidth="1"/>
    <col min="5380" max="5380" width="9.33203125" style="2888" bestFit="1" customWidth="1"/>
    <col min="5381" max="5381" width="13.44140625" style="2888" customWidth="1"/>
    <col min="5382" max="5382" width="9" style="2888"/>
    <col min="5383" max="5383" width="9.33203125" style="2888" bestFit="1" customWidth="1"/>
    <col min="5384" max="5385" width="9" style="2888"/>
    <col min="5386" max="5386" width="9.33203125" style="2888" bestFit="1" customWidth="1"/>
    <col min="5387" max="5387" width="4" style="2888" customWidth="1"/>
    <col min="5388" max="5388" width="5.109375" style="2888" customWidth="1"/>
    <col min="5389" max="5389" width="13.77734375" style="2888" customWidth="1"/>
    <col min="5390" max="5632" width="9" style="2888"/>
    <col min="5633" max="5633" width="4.88671875" style="2888" customWidth="1"/>
    <col min="5634" max="5634" width="13.21875" style="2888" customWidth="1"/>
    <col min="5635" max="5635" width="15.6640625" style="2888" customWidth="1"/>
    <col min="5636" max="5636" width="9.33203125" style="2888" bestFit="1" customWidth="1"/>
    <col min="5637" max="5637" width="13.44140625" style="2888" customWidth="1"/>
    <col min="5638" max="5638" width="9" style="2888"/>
    <col min="5639" max="5639" width="9.33203125" style="2888" bestFit="1" customWidth="1"/>
    <col min="5640" max="5641" width="9" style="2888"/>
    <col min="5642" max="5642" width="9.33203125" style="2888" bestFit="1" customWidth="1"/>
    <col min="5643" max="5643" width="4" style="2888" customWidth="1"/>
    <col min="5644" max="5644" width="5.109375" style="2888" customWidth="1"/>
    <col min="5645" max="5645" width="13.77734375" style="2888" customWidth="1"/>
    <col min="5646" max="5888" width="9" style="2888"/>
    <col min="5889" max="5889" width="4.88671875" style="2888" customWidth="1"/>
    <col min="5890" max="5890" width="13.21875" style="2888" customWidth="1"/>
    <col min="5891" max="5891" width="15.6640625" style="2888" customWidth="1"/>
    <col min="5892" max="5892" width="9.33203125" style="2888" bestFit="1" customWidth="1"/>
    <col min="5893" max="5893" width="13.44140625" style="2888" customWidth="1"/>
    <col min="5894" max="5894" width="9" style="2888"/>
    <col min="5895" max="5895" width="9.33203125" style="2888" bestFit="1" customWidth="1"/>
    <col min="5896" max="5897" width="9" style="2888"/>
    <col min="5898" max="5898" width="9.33203125" style="2888" bestFit="1" customWidth="1"/>
    <col min="5899" max="5899" width="4" style="2888" customWidth="1"/>
    <col min="5900" max="5900" width="5.109375" style="2888" customWidth="1"/>
    <col min="5901" max="5901" width="13.77734375" style="2888" customWidth="1"/>
    <col min="5902" max="6144" width="9" style="2888"/>
    <col min="6145" max="6145" width="4.88671875" style="2888" customWidth="1"/>
    <col min="6146" max="6146" width="13.21875" style="2888" customWidth="1"/>
    <col min="6147" max="6147" width="15.6640625" style="2888" customWidth="1"/>
    <col min="6148" max="6148" width="9.33203125" style="2888" bestFit="1" customWidth="1"/>
    <col min="6149" max="6149" width="13.44140625" style="2888" customWidth="1"/>
    <col min="6150" max="6150" width="9" style="2888"/>
    <col min="6151" max="6151" width="9.33203125" style="2888" bestFit="1" customWidth="1"/>
    <col min="6152" max="6153" width="9" style="2888"/>
    <col min="6154" max="6154" width="9.33203125" style="2888" bestFit="1" customWidth="1"/>
    <col min="6155" max="6155" width="4" style="2888" customWidth="1"/>
    <col min="6156" max="6156" width="5.109375" style="2888" customWidth="1"/>
    <col min="6157" max="6157" width="13.77734375" style="2888" customWidth="1"/>
    <col min="6158" max="6400" width="9" style="2888"/>
    <col min="6401" max="6401" width="4.88671875" style="2888" customWidth="1"/>
    <col min="6402" max="6402" width="13.21875" style="2888" customWidth="1"/>
    <col min="6403" max="6403" width="15.6640625" style="2888" customWidth="1"/>
    <col min="6404" max="6404" width="9.33203125" style="2888" bestFit="1" customWidth="1"/>
    <col min="6405" max="6405" width="13.44140625" style="2888" customWidth="1"/>
    <col min="6406" max="6406" width="9" style="2888"/>
    <col min="6407" max="6407" width="9.33203125" style="2888" bestFit="1" customWidth="1"/>
    <col min="6408" max="6409" width="9" style="2888"/>
    <col min="6410" max="6410" width="9.33203125" style="2888" bestFit="1" customWidth="1"/>
    <col min="6411" max="6411" width="4" style="2888" customWidth="1"/>
    <col min="6412" max="6412" width="5.109375" style="2888" customWidth="1"/>
    <col min="6413" max="6413" width="13.77734375" style="2888" customWidth="1"/>
    <col min="6414" max="6656" width="9" style="2888"/>
    <col min="6657" max="6657" width="4.88671875" style="2888" customWidth="1"/>
    <col min="6658" max="6658" width="13.21875" style="2888" customWidth="1"/>
    <col min="6659" max="6659" width="15.6640625" style="2888" customWidth="1"/>
    <col min="6660" max="6660" width="9.33203125" style="2888" bestFit="1" customWidth="1"/>
    <col min="6661" max="6661" width="13.44140625" style="2888" customWidth="1"/>
    <col min="6662" max="6662" width="9" style="2888"/>
    <col min="6663" max="6663" width="9.33203125" style="2888" bestFit="1" customWidth="1"/>
    <col min="6664" max="6665" width="9" style="2888"/>
    <col min="6666" max="6666" width="9.33203125" style="2888" bestFit="1" customWidth="1"/>
    <col min="6667" max="6667" width="4" style="2888" customWidth="1"/>
    <col min="6668" max="6668" width="5.109375" style="2888" customWidth="1"/>
    <col min="6669" max="6669" width="13.77734375" style="2888" customWidth="1"/>
    <col min="6670" max="6912" width="9" style="2888"/>
    <col min="6913" max="6913" width="4.88671875" style="2888" customWidth="1"/>
    <col min="6914" max="6914" width="13.21875" style="2888" customWidth="1"/>
    <col min="6915" max="6915" width="15.6640625" style="2888" customWidth="1"/>
    <col min="6916" max="6916" width="9.33203125" style="2888" bestFit="1" customWidth="1"/>
    <col min="6917" max="6917" width="13.44140625" style="2888" customWidth="1"/>
    <col min="6918" max="6918" width="9" style="2888"/>
    <col min="6919" max="6919" width="9.33203125" style="2888" bestFit="1" customWidth="1"/>
    <col min="6920" max="6921" width="9" style="2888"/>
    <col min="6922" max="6922" width="9.33203125" style="2888" bestFit="1" customWidth="1"/>
    <col min="6923" max="6923" width="4" style="2888" customWidth="1"/>
    <col min="6924" max="6924" width="5.109375" style="2888" customWidth="1"/>
    <col min="6925" max="6925" width="13.77734375" style="2888" customWidth="1"/>
    <col min="6926" max="7168" width="9" style="2888"/>
    <col min="7169" max="7169" width="4.88671875" style="2888" customWidth="1"/>
    <col min="7170" max="7170" width="13.21875" style="2888" customWidth="1"/>
    <col min="7171" max="7171" width="15.6640625" style="2888" customWidth="1"/>
    <col min="7172" max="7172" width="9.33203125" style="2888" bestFit="1" customWidth="1"/>
    <col min="7173" max="7173" width="13.44140625" style="2888" customWidth="1"/>
    <col min="7174" max="7174" width="9" style="2888"/>
    <col min="7175" max="7175" width="9.33203125" style="2888" bestFit="1" customWidth="1"/>
    <col min="7176" max="7177" width="9" style="2888"/>
    <col min="7178" max="7178" width="9.33203125" style="2888" bestFit="1" customWidth="1"/>
    <col min="7179" max="7179" width="4" style="2888" customWidth="1"/>
    <col min="7180" max="7180" width="5.109375" style="2888" customWidth="1"/>
    <col min="7181" max="7181" width="13.77734375" style="2888" customWidth="1"/>
    <col min="7182" max="7424" width="9" style="2888"/>
    <col min="7425" max="7425" width="4.88671875" style="2888" customWidth="1"/>
    <col min="7426" max="7426" width="13.21875" style="2888" customWidth="1"/>
    <col min="7427" max="7427" width="15.6640625" style="2888" customWidth="1"/>
    <col min="7428" max="7428" width="9.33203125" style="2888" bestFit="1" customWidth="1"/>
    <col min="7429" max="7429" width="13.44140625" style="2888" customWidth="1"/>
    <col min="7430" max="7430" width="9" style="2888"/>
    <col min="7431" max="7431" width="9.33203125" style="2888" bestFit="1" customWidth="1"/>
    <col min="7432" max="7433" width="9" style="2888"/>
    <col min="7434" max="7434" width="9.33203125" style="2888" bestFit="1" customWidth="1"/>
    <col min="7435" max="7435" width="4" style="2888" customWidth="1"/>
    <col min="7436" max="7436" width="5.109375" style="2888" customWidth="1"/>
    <col min="7437" max="7437" width="13.77734375" style="2888" customWidth="1"/>
    <col min="7438" max="7680" width="9" style="2888"/>
    <col min="7681" max="7681" width="4.88671875" style="2888" customWidth="1"/>
    <col min="7682" max="7682" width="13.21875" style="2888" customWidth="1"/>
    <col min="7683" max="7683" width="15.6640625" style="2888" customWidth="1"/>
    <col min="7684" max="7684" width="9.33203125" style="2888" bestFit="1" customWidth="1"/>
    <col min="7685" max="7685" width="13.44140625" style="2888" customWidth="1"/>
    <col min="7686" max="7686" width="9" style="2888"/>
    <col min="7687" max="7687" width="9.33203125" style="2888" bestFit="1" customWidth="1"/>
    <col min="7688" max="7689" width="9" style="2888"/>
    <col min="7690" max="7690" width="9.33203125" style="2888" bestFit="1" customWidth="1"/>
    <col min="7691" max="7691" width="4" style="2888" customWidth="1"/>
    <col min="7692" max="7692" width="5.109375" style="2888" customWidth="1"/>
    <col min="7693" max="7693" width="13.77734375" style="2888" customWidth="1"/>
    <col min="7694" max="7936" width="9" style="2888"/>
    <col min="7937" max="7937" width="4.88671875" style="2888" customWidth="1"/>
    <col min="7938" max="7938" width="13.21875" style="2888" customWidth="1"/>
    <col min="7939" max="7939" width="15.6640625" style="2888" customWidth="1"/>
    <col min="7940" max="7940" width="9.33203125" style="2888" bestFit="1" customWidth="1"/>
    <col min="7941" max="7941" width="13.44140625" style="2888" customWidth="1"/>
    <col min="7942" max="7942" width="9" style="2888"/>
    <col min="7943" max="7943" width="9.33203125" style="2888" bestFit="1" customWidth="1"/>
    <col min="7944" max="7945" width="9" style="2888"/>
    <col min="7946" max="7946" width="9.33203125" style="2888" bestFit="1" customWidth="1"/>
    <col min="7947" max="7947" width="4" style="2888" customWidth="1"/>
    <col min="7948" max="7948" width="5.109375" style="2888" customWidth="1"/>
    <col min="7949" max="7949" width="13.77734375" style="2888" customWidth="1"/>
    <col min="7950" max="8192" width="9" style="2888"/>
    <col min="8193" max="8193" width="4.88671875" style="2888" customWidth="1"/>
    <col min="8194" max="8194" width="13.21875" style="2888" customWidth="1"/>
    <col min="8195" max="8195" width="15.6640625" style="2888" customWidth="1"/>
    <col min="8196" max="8196" width="9.33203125" style="2888" bestFit="1" customWidth="1"/>
    <col min="8197" max="8197" width="13.44140625" style="2888" customWidth="1"/>
    <col min="8198" max="8198" width="9" style="2888"/>
    <col min="8199" max="8199" width="9.33203125" style="2888" bestFit="1" customWidth="1"/>
    <col min="8200" max="8201" width="9" style="2888"/>
    <col min="8202" max="8202" width="9.33203125" style="2888" bestFit="1" customWidth="1"/>
    <col min="8203" max="8203" width="4" style="2888" customWidth="1"/>
    <col min="8204" max="8204" width="5.109375" style="2888" customWidth="1"/>
    <col min="8205" max="8205" width="13.77734375" style="2888" customWidth="1"/>
    <col min="8206" max="8448" width="9" style="2888"/>
    <col min="8449" max="8449" width="4.88671875" style="2888" customWidth="1"/>
    <col min="8450" max="8450" width="13.21875" style="2888" customWidth="1"/>
    <col min="8451" max="8451" width="15.6640625" style="2888" customWidth="1"/>
    <col min="8452" max="8452" width="9.33203125" style="2888" bestFit="1" customWidth="1"/>
    <col min="8453" max="8453" width="13.44140625" style="2888" customWidth="1"/>
    <col min="8454" max="8454" width="9" style="2888"/>
    <col min="8455" max="8455" width="9.33203125" style="2888" bestFit="1" customWidth="1"/>
    <col min="8456" max="8457" width="9" style="2888"/>
    <col min="8458" max="8458" width="9.33203125" style="2888" bestFit="1" customWidth="1"/>
    <col min="8459" max="8459" width="4" style="2888" customWidth="1"/>
    <col min="8460" max="8460" width="5.109375" style="2888" customWidth="1"/>
    <col min="8461" max="8461" width="13.77734375" style="2888" customWidth="1"/>
    <col min="8462" max="8704" width="9" style="2888"/>
    <col min="8705" max="8705" width="4.88671875" style="2888" customWidth="1"/>
    <col min="8706" max="8706" width="13.21875" style="2888" customWidth="1"/>
    <col min="8707" max="8707" width="15.6640625" style="2888" customWidth="1"/>
    <col min="8708" max="8708" width="9.33203125" style="2888" bestFit="1" customWidth="1"/>
    <col min="8709" max="8709" width="13.44140625" style="2888" customWidth="1"/>
    <col min="8710" max="8710" width="9" style="2888"/>
    <col min="8711" max="8711" width="9.33203125" style="2888" bestFit="1" customWidth="1"/>
    <col min="8712" max="8713" width="9" style="2888"/>
    <col min="8714" max="8714" width="9.33203125" style="2888" bestFit="1" customWidth="1"/>
    <col min="8715" max="8715" width="4" style="2888" customWidth="1"/>
    <col min="8716" max="8716" width="5.109375" style="2888" customWidth="1"/>
    <col min="8717" max="8717" width="13.77734375" style="2888" customWidth="1"/>
    <col min="8718" max="8960" width="9" style="2888"/>
    <col min="8961" max="8961" width="4.88671875" style="2888" customWidth="1"/>
    <col min="8962" max="8962" width="13.21875" style="2888" customWidth="1"/>
    <col min="8963" max="8963" width="15.6640625" style="2888" customWidth="1"/>
    <col min="8964" max="8964" width="9.33203125" style="2888" bestFit="1" customWidth="1"/>
    <col min="8965" max="8965" width="13.44140625" style="2888" customWidth="1"/>
    <col min="8966" max="8966" width="9" style="2888"/>
    <col min="8967" max="8967" width="9.33203125" style="2888" bestFit="1" customWidth="1"/>
    <col min="8968" max="8969" width="9" style="2888"/>
    <col min="8970" max="8970" width="9.33203125" style="2888" bestFit="1" customWidth="1"/>
    <col min="8971" max="8971" width="4" style="2888" customWidth="1"/>
    <col min="8972" max="8972" width="5.109375" style="2888" customWidth="1"/>
    <col min="8973" max="8973" width="13.77734375" style="2888" customWidth="1"/>
    <col min="8974" max="9216" width="9" style="2888"/>
    <col min="9217" max="9217" width="4.88671875" style="2888" customWidth="1"/>
    <col min="9218" max="9218" width="13.21875" style="2888" customWidth="1"/>
    <col min="9219" max="9219" width="15.6640625" style="2888" customWidth="1"/>
    <col min="9220" max="9220" width="9.33203125" style="2888" bestFit="1" customWidth="1"/>
    <col min="9221" max="9221" width="13.44140625" style="2888" customWidth="1"/>
    <col min="9222" max="9222" width="9" style="2888"/>
    <col min="9223" max="9223" width="9.33203125" style="2888" bestFit="1" customWidth="1"/>
    <col min="9224" max="9225" width="9" style="2888"/>
    <col min="9226" max="9226" width="9.33203125" style="2888" bestFit="1" customWidth="1"/>
    <col min="9227" max="9227" width="4" style="2888" customWidth="1"/>
    <col min="9228" max="9228" width="5.109375" style="2888" customWidth="1"/>
    <col min="9229" max="9229" width="13.77734375" style="2888" customWidth="1"/>
    <col min="9230" max="9472" width="9" style="2888"/>
    <col min="9473" max="9473" width="4.88671875" style="2888" customWidth="1"/>
    <col min="9474" max="9474" width="13.21875" style="2888" customWidth="1"/>
    <col min="9475" max="9475" width="15.6640625" style="2888" customWidth="1"/>
    <col min="9476" max="9476" width="9.33203125" style="2888" bestFit="1" customWidth="1"/>
    <col min="9477" max="9477" width="13.44140625" style="2888" customWidth="1"/>
    <col min="9478" max="9478" width="9" style="2888"/>
    <col min="9479" max="9479" width="9.33203125" style="2888" bestFit="1" customWidth="1"/>
    <col min="9480" max="9481" width="9" style="2888"/>
    <col min="9482" max="9482" width="9.33203125" style="2888" bestFit="1" customWidth="1"/>
    <col min="9483" max="9483" width="4" style="2888" customWidth="1"/>
    <col min="9484" max="9484" width="5.109375" style="2888" customWidth="1"/>
    <col min="9485" max="9485" width="13.77734375" style="2888" customWidth="1"/>
    <col min="9486" max="9728" width="9" style="2888"/>
    <col min="9729" max="9729" width="4.88671875" style="2888" customWidth="1"/>
    <col min="9730" max="9730" width="13.21875" style="2888" customWidth="1"/>
    <col min="9731" max="9731" width="15.6640625" style="2888" customWidth="1"/>
    <col min="9732" max="9732" width="9.33203125" style="2888" bestFit="1" customWidth="1"/>
    <col min="9733" max="9733" width="13.44140625" style="2888" customWidth="1"/>
    <col min="9734" max="9734" width="9" style="2888"/>
    <col min="9735" max="9735" width="9.33203125" style="2888" bestFit="1" customWidth="1"/>
    <col min="9736" max="9737" width="9" style="2888"/>
    <col min="9738" max="9738" width="9.33203125" style="2888" bestFit="1" customWidth="1"/>
    <col min="9739" max="9739" width="4" style="2888" customWidth="1"/>
    <col min="9740" max="9740" width="5.109375" style="2888" customWidth="1"/>
    <col min="9741" max="9741" width="13.77734375" style="2888" customWidth="1"/>
    <col min="9742" max="9984" width="9" style="2888"/>
    <col min="9985" max="9985" width="4.88671875" style="2888" customWidth="1"/>
    <col min="9986" max="9986" width="13.21875" style="2888" customWidth="1"/>
    <col min="9987" max="9987" width="15.6640625" style="2888" customWidth="1"/>
    <col min="9988" max="9988" width="9.33203125" style="2888" bestFit="1" customWidth="1"/>
    <col min="9989" max="9989" width="13.44140625" style="2888" customWidth="1"/>
    <col min="9990" max="9990" width="9" style="2888"/>
    <col min="9991" max="9991" width="9.33203125" style="2888" bestFit="1" customWidth="1"/>
    <col min="9992" max="9993" width="9" style="2888"/>
    <col min="9994" max="9994" width="9.33203125" style="2888" bestFit="1" customWidth="1"/>
    <col min="9995" max="9995" width="4" style="2888" customWidth="1"/>
    <col min="9996" max="9996" width="5.109375" style="2888" customWidth="1"/>
    <col min="9997" max="9997" width="13.77734375" style="2888" customWidth="1"/>
    <col min="9998" max="10240" width="9" style="2888"/>
    <col min="10241" max="10241" width="4.88671875" style="2888" customWidth="1"/>
    <col min="10242" max="10242" width="13.21875" style="2888" customWidth="1"/>
    <col min="10243" max="10243" width="15.6640625" style="2888" customWidth="1"/>
    <col min="10244" max="10244" width="9.33203125" style="2888" bestFit="1" customWidth="1"/>
    <col min="10245" max="10245" width="13.44140625" style="2888" customWidth="1"/>
    <col min="10246" max="10246" width="9" style="2888"/>
    <col min="10247" max="10247" width="9.33203125" style="2888" bestFit="1" customWidth="1"/>
    <col min="10248" max="10249" width="9" style="2888"/>
    <col min="10250" max="10250" width="9.33203125" style="2888" bestFit="1" customWidth="1"/>
    <col min="10251" max="10251" width="4" style="2888" customWidth="1"/>
    <col min="10252" max="10252" width="5.109375" style="2888" customWidth="1"/>
    <col min="10253" max="10253" width="13.77734375" style="2888" customWidth="1"/>
    <col min="10254" max="10496" width="9" style="2888"/>
    <col min="10497" max="10497" width="4.88671875" style="2888" customWidth="1"/>
    <col min="10498" max="10498" width="13.21875" style="2888" customWidth="1"/>
    <col min="10499" max="10499" width="15.6640625" style="2888" customWidth="1"/>
    <col min="10500" max="10500" width="9.33203125" style="2888" bestFit="1" customWidth="1"/>
    <col min="10501" max="10501" width="13.44140625" style="2888" customWidth="1"/>
    <col min="10502" max="10502" width="9" style="2888"/>
    <col min="10503" max="10503" width="9.33203125" style="2888" bestFit="1" customWidth="1"/>
    <col min="10504" max="10505" width="9" style="2888"/>
    <col min="10506" max="10506" width="9.33203125" style="2888" bestFit="1" customWidth="1"/>
    <col min="10507" max="10507" width="4" style="2888" customWidth="1"/>
    <col min="10508" max="10508" width="5.109375" style="2888" customWidth="1"/>
    <col min="10509" max="10509" width="13.77734375" style="2888" customWidth="1"/>
    <col min="10510" max="10752" width="9" style="2888"/>
    <col min="10753" max="10753" width="4.88671875" style="2888" customWidth="1"/>
    <col min="10754" max="10754" width="13.21875" style="2888" customWidth="1"/>
    <col min="10755" max="10755" width="15.6640625" style="2888" customWidth="1"/>
    <col min="10756" max="10756" width="9.33203125" style="2888" bestFit="1" customWidth="1"/>
    <col min="10757" max="10757" width="13.44140625" style="2888" customWidth="1"/>
    <col min="10758" max="10758" width="9" style="2888"/>
    <col min="10759" max="10759" width="9.33203125" style="2888" bestFit="1" customWidth="1"/>
    <col min="10760" max="10761" width="9" style="2888"/>
    <col min="10762" max="10762" width="9.33203125" style="2888" bestFit="1" customWidth="1"/>
    <col min="10763" max="10763" width="4" style="2888" customWidth="1"/>
    <col min="10764" max="10764" width="5.109375" style="2888" customWidth="1"/>
    <col min="10765" max="10765" width="13.77734375" style="2888" customWidth="1"/>
    <col min="10766" max="11008" width="9" style="2888"/>
    <col min="11009" max="11009" width="4.88671875" style="2888" customWidth="1"/>
    <col min="11010" max="11010" width="13.21875" style="2888" customWidth="1"/>
    <col min="11011" max="11011" width="15.6640625" style="2888" customWidth="1"/>
    <col min="11012" max="11012" width="9.33203125" style="2888" bestFit="1" customWidth="1"/>
    <col min="11013" max="11013" width="13.44140625" style="2888" customWidth="1"/>
    <col min="11014" max="11014" width="9" style="2888"/>
    <col min="11015" max="11015" width="9.33203125" style="2888" bestFit="1" customWidth="1"/>
    <col min="11016" max="11017" width="9" style="2888"/>
    <col min="11018" max="11018" width="9.33203125" style="2888" bestFit="1" customWidth="1"/>
    <col min="11019" max="11019" width="4" style="2888" customWidth="1"/>
    <col min="11020" max="11020" width="5.109375" style="2888" customWidth="1"/>
    <col min="11021" max="11021" width="13.77734375" style="2888" customWidth="1"/>
    <col min="11022" max="11264" width="9" style="2888"/>
    <col min="11265" max="11265" width="4.88671875" style="2888" customWidth="1"/>
    <col min="11266" max="11266" width="13.21875" style="2888" customWidth="1"/>
    <col min="11267" max="11267" width="15.6640625" style="2888" customWidth="1"/>
    <col min="11268" max="11268" width="9.33203125" style="2888" bestFit="1" customWidth="1"/>
    <col min="11269" max="11269" width="13.44140625" style="2888" customWidth="1"/>
    <col min="11270" max="11270" width="9" style="2888"/>
    <col min="11271" max="11271" width="9.33203125" style="2888" bestFit="1" customWidth="1"/>
    <col min="11272" max="11273" width="9" style="2888"/>
    <col min="11274" max="11274" width="9.33203125" style="2888" bestFit="1" customWidth="1"/>
    <col min="11275" max="11275" width="4" style="2888" customWidth="1"/>
    <col min="11276" max="11276" width="5.109375" style="2888" customWidth="1"/>
    <col min="11277" max="11277" width="13.77734375" style="2888" customWidth="1"/>
    <col min="11278" max="11520" width="9" style="2888"/>
    <col min="11521" max="11521" width="4.88671875" style="2888" customWidth="1"/>
    <col min="11522" max="11522" width="13.21875" style="2888" customWidth="1"/>
    <col min="11523" max="11523" width="15.6640625" style="2888" customWidth="1"/>
    <col min="11524" max="11524" width="9.33203125" style="2888" bestFit="1" customWidth="1"/>
    <col min="11525" max="11525" width="13.44140625" style="2888" customWidth="1"/>
    <col min="11526" max="11526" width="9" style="2888"/>
    <col min="11527" max="11527" width="9.33203125" style="2888" bestFit="1" customWidth="1"/>
    <col min="11528" max="11529" width="9" style="2888"/>
    <col min="11530" max="11530" width="9.33203125" style="2888" bestFit="1" customWidth="1"/>
    <col min="11531" max="11531" width="4" style="2888" customWidth="1"/>
    <col min="11532" max="11532" width="5.109375" style="2888" customWidth="1"/>
    <col min="11533" max="11533" width="13.77734375" style="2888" customWidth="1"/>
    <col min="11534" max="11776" width="9" style="2888"/>
    <col min="11777" max="11777" width="4.88671875" style="2888" customWidth="1"/>
    <col min="11778" max="11778" width="13.21875" style="2888" customWidth="1"/>
    <col min="11779" max="11779" width="15.6640625" style="2888" customWidth="1"/>
    <col min="11780" max="11780" width="9.33203125" style="2888" bestFit="1" customWidth="1"/>
    <col min="11781" max="11781" width="13.44140625" style="2888" customWidth="1"/>
    <col min="11782" max="11782" width="9" style="2888"/>
    <col min="11783" max="11783" width="9.33203125" style="2888" bestFit="1" customWidth="1"/>
    <col min="11784" max="11785" width="9" style="2888"/>
    <col min="11786" max="11786" width="9.33203125" style="2888" bestFit="1" customWidth="1"/>
    <col min="11787" max="11787" width="4" style="2888" customWidth="1"/>
    <col min="11788" max="11788" width="5.109375" style="2888" customWidth="1"/>
    <col min="11789" max="11789" width="13.77734375" style="2888" customWidth="1"/>
    <col min="11790" max="12032" width="9" style="2888"/>
    <col min="12033" max="12033" width="4.88671875" style="2888" customWidth="1"/>
    <col min="12034" max="12034" width="13.21875" style="2888" customWidth="1"/>
    <col min="12035" max="12035" width="15.6640625" style="2888" customWidth="1"/>
    <col min="12036" max="12036" width="9.33203125" style="2888" bestFit="1" customWidth="1"/>
    <col min="12037" max="12037" width="13.44140625" style="2888" customWidth="1"/>
    <col min="12038" max="12038" width="9" style="2888"/>
    <col min="12039" max="12039" width="9.33203125" style="2888" bestFit="1" customWidth="1"/>
    <col min="12040" max="12041" width="9" style="2888"/>
    <col min="12042" max="12042" width="9.33203125" style="2888" bestFit="1" customWidth="1"/>
    <col min="12043" max="12043" width="4" style="2888" customWidth="1"/>
    <col min="12044" max="12044" width="5.109375" style="2888" customWidth="1"/>
    <col min="12045" max="12045" width="13.77734375" style="2888" customWidth="1"/>
    <col min="12046" max="12288" width="9" style="2888"/>
    <col min="12289" max="12289" width="4.88671875" style="2888" customWidth="1"/>
    <col min="12290" max="12290" width="13.21875" style="2888" customWidth="1"/>
    <col min="12291" max="12291" width="15.6640625" style="2888" customWidth="1"/>
    <col min="12292" max="12292" width="9.33203125" style="2888" bestFit="1" customWidth="1"/>
    <col min="12293" max="12293" width="13.44140625" style="2888" customWidth="1"/>
    <col min="12294" max="12294" width="9" style="2888"/>
    <col min="12295" max="12295" width="9.33203125" style="2888" bestFit="1" customWidth="1"/>
    <col min="12296" max="12297" width="9" style="2888"/>
    <col min="12298" max="12298" width="9.33203125" style="2888" bestFit="1" customWidth="1"/>
    <col min="12299" max="12299" width="4" style="2888" customWidth="1"/>
    <col min="12300" max="12300" width="5.109375" style="2888" customWidth="1"/>
    <col min="12301" max="12301" width="13.77734375" style="2888" customWidth="1"/>
    <col min="12302" max="12544" width="9" style="2888"/>
    <col min="12545" max="12545" width="4.88671875" style="2888" customWidth="1"/>
    <col min="12546" max="12546" width="13.21875" style="2888" customWidth="1"/>
    <col min="12547" max="12547" width="15.6640625" style="2888" customWidth="1"/>
    <col min="12548" max="12548" width="9.33203125" style="2888" bestFit="1" customWidth="1"/>
    <col min="12549" max="12549" width="13.44140625" style="2888" customWidth="1"/>
    <col min="12550" max="12550" width="9" style="2888"/>
    <col min="12551" max="12551" width="9.33203125" style="2888" bestFit="1" customWidth="1"/>
    <col min="12552" max="12553" width="9" style="2888"/>
    <col min="12554" max="12554" width="9.33203125" style="2888" bestFit="1" customWidth="1"/>
    <col min="12555" max="12555" width="4" style="2888" customWidth="1"/>
    <col min="12556" max="12556" width="5.109375" style="2888" customWidth="1"/>
    <col min="12557" max="12557" width="13.77734375" style="2888" customWidth="1"/>
    <col min="12558" max="12800" width="9" style="2888"/>
    <col min="12801" max="12801" width="4.88671875" style="2888" customWidth="1"/>
    <col min="12802" max="12802" width="13.21875" style="2888" customWidth="1"/>
    <col min="12803" max="12803" width="15.6640625" style="2888" customWidth="1"/>
    <col min="12804" max="12804" width="9.33203125" style="2888" bestFit="1" customWidth="1"/>
    <col min="12805" max="12805" width="13.44140625" style="2888" customWidth="1"/>
    <col min="12806" max="12806" width="9" style="2888"/>
    <col min="12807" max="12807" width="9.33203125" style="2888" bestFit="1" customWidth="1"/>
    <col min="12808" max="12809" width="9" style="2888"/>
    <col min="12810" max="12810" width="9.33203125" style="2888" bestFit="1" customWidth="1"/>
    <col min="12811" max="12811" width="4" style="2888" customWidth="1"/>
    <col min="12812" max="12812" width="5.109375" style="2888" customWidth="1"/>
    <col min="12813" max="12813" width="13.77734375" style="2888" customWidth="1"/>
    <col min="12814" max="13056" width="9" style="2888"/>
    <col min="13057" max="13057" width="4.88671875" style="2888" customWidth="1"/>
    <col min="13058" max="13058" width="13.21875" style="2888" customWidth="1"/>
    <col min="13059" max="13059" width="15.6640625" style="2888" customWidth="1"/>
    <col min="13060" max="13060" width="9.33203125" style="2888" bestFit="1" customWidth="1"/>
    <col min="13061" max="13061" width="13.44140625" style="2888" customWidth="1"/>
    <col min="13062" max="13062" width="9" style="2888"/>
    <col min="13063" max="13063" width="9.33203125" style="2888" bestFit="1" customWidth="1"/>
    <col min="13064" max="13065" width="9" style="2888"/>
    <col min="13066" max="13066" width="9.33203125" style="2888" bestFit="1" customWidth="1"/>
    <col min="13067" max="13067" width="4" style="2888" customWidth="1"/>
    <col min="13068" max="13068" width="5.109375" style="2888" customWidth="1"/>
    <col min="13069" max="13069" width="13.77734375" style="2888" customWidth="1"/>
    <col min="13070" max="13312" width="9" style="2888"/>
    <col min="13313" max="13313" width="4.88671875" style="2888" customWidth="1"/>
    <col min="13314" max="13314" width="13.21875" style="2888" customWidth="1"/>
    <col min="13315" max="13315" width="15.6640625" style="2888" customWidth="1"/>
    <col min="13316" max="13316" width="9.33203125" style="2888" bestFit="1" customWidth="1"/>
    <col min="13317" max="13317" width="13.44140625" style="2888" customWidth="1"/>
    <col min="13318" max="13318" width="9" style="2888"/>
    <col min="13319" max="13319" width="9.33203125" style="2888" bestFit="1" customWidth="1"/>
    <col min="13320" max="13321" width="9" style="2888"/>
    <col min="13322" max="13322" width="9.33203125" style="2888" bestFit="1" customWidth="1"/>
    <col min="13323" max="13323" width="4" style="2888" customWidth="1"/>
    <col min="13324" max="13324" width="5.109375" style="2888" customWidth="1"/>
    <col min="13325" max="13325" width="13.77734375" style="2888" customWidth="1"/>
    <col min="13326" max="13568" width="9" style="2888"/>
    <col min="13569" max="13569" width="4.88671875" style="2888" customWidth="1"/>
    <col min="13570" max="13570" width="13.21875" style="2888" customWidth="1"/>
    <col min="13571" max="13571" width="15.6640625" style="2888" customWidth="1"/>
    <col min="13572" max="13572" width="9.33203125" style="2888" bestFit="1" customWidth="1"/>
    <col min="13573" max="13573" width="13.44140625" style="2888" customWidth="1"/>
    <col min="13574" max="13574" width="9" style="2888"/>
    <col min="13575" max="13575" width="9.33203125" style="2888" bestFit="1" customWidth="1"/>
    <col min="13576" max="13577" width="9" style="2888"/>
    <col min="13578" max="13578" width="9.33203125" style="2888" bestFit="1" customWidth="1"/>
    <col min="13579" max="13579" width="4" style="2888" customWidth="1"/>
    <col min="13580" max="13580" width="5.109375" style="2888" customWidth="1"/>
    <col min="13581" max="13581" width="13.77734375" style="2888" customWidth="1"/>
    <col min="13582" max="13824" width="9" style="2888"/>
    <col min="13825" max="13825" width="4.88671875" style="2888" customWidth="1"/>
    <col min="13826" max="13826" width="13.21875" style="2888" customWidth="1"/>
    <col min="13827" max="13827" width="15.6640625" style="2888" customWidth="1"/>
    <col min="13828" max="13828" width="9.33203125" style="2888" bestFit="1" customWidth="1"/>
    <col min="13829" max="13829" width="13.44140625" style="2888" customWidth="1"/>
    <col min="13830" max="13830" width="9" style="2888"/>
    <col min="13831" max="13831" width="9.33203125" style="2888" bestFit="1" customWidth="1"/>
    <col min="13832" max="13833" width="9" style="2888"/>
    <col min="13834" max="13834" width="9.33203125" style="2888" bestFit="1" customWidth="1"/>
    <col min="13835" max="13835" width="4" style="2888" customWidth="1"/>
    <col min="13836" max="13836" width="5.109375" style="2888" customWidth="1"/>
    <col min="13837" max="13837" width="13.77734375" style="2888" customWidth="1"/>
    <col min="13838" max="14080" width="9" style="2888"/>
    <col min="14081" max="14081" width="4.88671875" style="2888" customWidth="1"/>
    <col min="14082" max="14082" width="13.21875" style="2888" customWidth="1"/>
    <col min="14083" max="14083" width="15.6640625" style="2888" customWidth="1"/>
    <col min="14084" max="14084" width="9.33203125" style="2888" bestFit="1" customWidth="1"/>
    <col min="14085" max="14085" width="13.44140625" style="2888" customWidth="1"/>
    <col min="14086" max="14086" width="9" style="2888"/>
    <col min="14087" max="14087" width="9.33203125" style="2888" bestFit="1" customWidth="1"/>
    <col min="14088" max="14089" width="9" style="2888"/>
    <col min="14090" max="14090" width="9.33203125" style="2888" bestFit="1" customWidth="1"/>
    <col min="14091" max="14091" width="4" style="2888" customWidth="1"/>
    <col min="14092" max="14092" width="5.109375" style="2888" customWidth="1"/>
    <col min="14093" max="14093" width="13.77734375" style="2888" customWidth="1"/>
    <col min="14094" max="14336" width="9" style="2888"/>
    <col min="14337" max="14337" width="4.88671875" style="2888" customWidth="1"/>
    <col min="14338" max="14338" width="13.21875" style="2888" customWidth="1"/>
    <col min="14339" max="14339" width="15.6640625" style="2888" customWidth="1"/>
    <col min="14340" max="14340" width="9.33203125" style="2888" bestFit="1" customWidth="1"/>
    <col min="14341" max="14341" width="13.44140625" style="2888" customWidth="1"/>
    <col min="14342" max="14342" width="9" style="2888"/>
    <col min="14343" max="14343" width="9.33203125" style="2888" bestFit="1" customWidth="1"/>
    <col min="14344" max="14345" width="9" style="2888"/>
    <col min="14346" max="14346" width="9.33203125" style="2888" bestFit="1" customWidth="1"/>
    <col min="14347" max="14347" width="4" style="2888" customWidth="1"/>
    <col min="14348" max="14348" width="5.109375" style="2888" customWidth="1"/>
    <col min="14349" max="14349" width="13.77734375" style="2888" customWidth="1"/>
    <col min="14350" max="14592" width="9" style="2888"/>
    <col min="14593" max="14593" width="4.88671875" style="2888" customWidth="1"/>
    <col min="14594" max="14594" width="13.21875" style="2888" customWidth="1"/>
    <col min="14595" max="14595" width="15.6640625" style="2888" customWidth="1"/>
    <col min="14596" max="14596" width="9.33203125" style="2888" bestFit="1" customWidth="1"/>
    <col min="14597" max="14597" width="13.44140625" style="2888" customWidth="1"/>
    <col min="14598" max="14598" width="9" style="2888"/>
    <col min="14599" max="14599" width="9.33203125" style="2888" bestFit="1" customWidth="1"/>
    <col min="14600" max="14601" width="9" style="2888"/>
    <col min="14602" max="14602" width="9.33203125" style="2888" bestFit="1" customWidth="1"/>
    <col min="14603" max="14603" width="4" style="2888" customWidth="1"/>
    <col min="14604" max="14604" width="5.109375" style="2888" customWidth="1"/>
    <col min="14605" max="14605" width="13.77734375" style="2888" customWidth="1"/>
    <col min="14606" max="14848" width="9" style="2888"/>
    <col min="14849" max="14849" width="4.88671875" style="2888" customWidth="1"/>
    <col min="14850" max="14850" width="13.21875" style="2888" customWidth="1"/>
    <col min="14851" max="14851" width="15.6640625" style="2888" customWidth="1"/>
    <col min="14852" max="14852" width="9.33203125" style="2888" bestFit="1" customWidth="1"/>
    <col min="14853" max="14853" width="13.44140625" style="2888" customWidth="1"/>
    <col min="14854" max="14854" width="9" style="2888"/>
    <col min="14855" max="14855" width="9.33203125" style="2888" bestFit="1" customWidth="1"/>
    <col min="14856" max="14857" width="9" style="2888"/>
    <col min="14858" max="14858" width="9.33203125" style="2888" bestFit="1" customWidth="1"/>
    <col min="14859" max="14859" width="4" style="2888" customWidth="1"/>
    <col min="14860" max="14860" width="5.109375" style="2888" customWidth="1"/>
    <col min="14861" max="14861" width="13.77734375" style="2888" customWidth="1"/>
    <col min="14862" max="15104" width="9" style="2888"/>
    <col min="15105" max="15105" width="4.88671875" style="2888" customWidth="1"/>
    <col min="15106" max="15106" width="13.21875" style="2888" customWidth="1"/>
    <col min="15107" max="15107" width="15.6640625" style="2888" customWidth="1"/>
    <col min="15108" max="15108" width="9.33203125" style="2888" bestFit="1" customWidth="1"/>
    <col min="15109" max="15109" width="13.44140625" style="2888" customWidth="1"/>
    <col min="15110" max="15110" width="9" style="2888"/>
    <col min="15111" max="15111" width="9.33203125" style="2888" bestFit="1" customWidth="1"/>
    <col min="15112" max="15113" width="9" style="2888"/>
    <col min="15114" max="15114" width="9.33203125" style="2888" bestFit="1" customWidth="1"/>
    <col min="15115" max="15115" width="4" style="2888" customWidth="1"/>
    <col min="15116" max="15116" width="5.109375" style="2888" customWidth="1"/>
    <col min="15117" max="15117" width="13.77734375" style="2888" customWidth="1"/>
    <col min="15118" max="15360" width="9" style="2888"/>
    <col min="15361" max="15361" width="4.88671875" style="2888" customWidth="1"/>
    <col min="15362" max="15362" width="13.21875" style="2888" customWidth="1"/>
    <col min="15363" max="15363" width="15.6640625" style="2888" customWidth="1"/>
    <col min="15364" max="15364" width="9.33203125" style="2888" bestFit="1" customWidth="1"/>
    <col min="15365" max="15365" width="13.44140625" style="2888" customWidth="1"/>
    <col min="15366" max="15366" width="9" style="2888"/>
    <col min="15367" max="15367" width="9.33203125" style="2888" bestFit="1" customWidth="1"/>
    <col min="15368" max="15369" width="9" style="2888"/>
    <col min="15370" max="15370" width="9.33203125" style="2888" bestFit="1" customWidth="1"/>
    <col min="15371" max="15371" width="4" style="2888" customWidth="1"/>
    <col min="15372" max="15372" width="5.109375" style="2888" customWidth="1"/>
    <col min="15373" max="15373" width="13.77734375" style="2888" customWidth="1"/>
    <col min="15374" max="15616" width="9" style="2888"/>
    <col min="15617" max="15617" width="4.88671875" style="2888" customWidth="1"/>
    <col min="15618" max="15618" width="13.21875" style="2888" customWidth="1"/>
    <col min="15619" max="15619" width="15.6640625" style="2888" customWidth="1"/>
    <col min="15620" max="15620" width="9.33203125" style="2888" bestFit="1" customWidth="1"/>
    <col min="15621" max="15621" width="13.44140625" style="2888" customWidth="1"/>
    <col min="15622" max="15622" width="9" style="2888"/>
    <col min="15623" max="15623" width="9.33203125" style="2888" bestFit="1" customWidth="1"/>
    <col min="15624" max="15625" width="9" style="2888"/>
    <col min="15626" max="15626" width="9.33203125" style="2888" bestFit="1" customWidth="1"/>
    <col min="15627" max="15627" width="4" style="2888" customWidth="1"/>
    <col min="15628" max="15628" width="5.109375" style="2888" customWidth="1"/>
    <col min="15629" max="15629" width="13.77734375" style="2888" customWidth="1"/>
    <col min="15630" max="15872" width="9" style="2888"/>
    <col min="15873" max="15873" width="4.88671875" style="2888" customWidth="1"/>
    <col min="15874" max="15874" width="13.21875" style="2888" customWidth="1"/>
    <col min="15875" max="15875" width="15.6640625" style="2888" customWidth="1"/>
    <col min="15876" max="15876" width="9.33203125" style="2888" bestFit="1" customWidth="1"/>
    <col min="15877" max="15877" width="13.44140625" style="2888" customWidth="1"/>
    <col min="15878" max="15878" width="9" style="2888"/>
    <col min="15879" max="15879" width="9.33203125" style="2888" bestFit="1" customWidth="1"/>
    <col min="15880" max="15881" width="9" style="2888"/>
    <col min="15882" max="15882" width="9.33203125" style="2888" bestFit="1" customWidth="1"/>
    <col min="15883" max="15883" width="4" style="2888" customWidth="1"/>
    <col min="15884" max="15884" width="5.109375" style="2888" customWidth="1"/>
    <col min="15885" max="15885" width="13.77734375" style="2888" customWidth="1"/>
    <col min="15886" max="16128" width="9" style="2888"/>
    <col min="16129" max="16129" width="4.88671875" style="2888" customWidth="1"/>
    <col min="16130" max="16130" width="13.21875" style="2888" customWidth="1"/>
    <col min="16131" max="16131" width="15.6640625" style="2888" customWidth="1"/>
    <col min="16132" max="16132" width="9.33203125" style="2888" bestFit="1" customWidth="1"/>
    <col min="16133" max="16133" width="13.44140625" style="2888" customWidth="1"/>
    <col min="16134" max="16134" width="9" style="2888"/>
    <col min="16135" max="16135" width="9.33203125" style="2888" bestFit="1" customWidth="1"/>
    <col min="16136" max="16137" width="9" style="2888"/>
    <col min="16138" max="16138" width="9.33203125" style="2888" bestFit="1" customWidth="1"/>
    <col min="16139" max="16139" width="4" style="2888" customWidth="1"/>
    <col min="16140" max="16140" width="5.109375" style="2888" customWidth="1"/>
    <col min="16141" max="16141" width="13.77734375" style="2888" customWidth="1"/>
    <col min="16142" max="16384" width="9" style="2888"/>
  </cols>
  <sheetData>
    <row r="1" spans="1:257" s="2948" customFormat="1" ht="15" thickBot="1">
      <c r="A1" s="2947"/>
      <c r="B1" s="2949" t="s">
        <v>2784</v>
      </c>
      <c r="C1" s="2953">
        <f>项目基本情况!D3</f>
        <v>44027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6" thickTop="1" thickBot="1">
      <c r="A2" s="2889"/>
      <c r="B2" s="2950" t="s">
        <v>2815</v>
      </c>
      <c r="C2" s="2954">
        <f>'数据-取费表'!B22</f>
        <v>2</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399999999999999">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2">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31.2">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6.8">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H34" sqref="H34"/>
    </sheetView>
  </sheetViews>
  <sheetFormatPr defaultRowHeight="14.4"/>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11" t="s">
        <v>2036</v>
      </c>
      <c r="B1" s="3311"/>
      <c r="C1" s="3311"/>
      <c r="D1" s="3311"/>
      <c r="E1" s="3311"/>
      <c r="F1" s="3311"/>
      <c r="G1" s="3311"/>
      <c r="H1" s="3311"/>
      <c r="I1" s="3311"/>
      <c r="J1" s="3311"/>
      <c r="K1" s="3311"/>
      <c r="L1" s="3311"/>
      <c r="M1" s="3311"/>
      <c r="N1" s="3311"/>
      <c r="O1" s="3311"/>
      <c r="P1" s="3311"/>
      <c r="Q1" s="3311"/>
      <c r="R1" s="3311"/>
    </row>
    <row r="2" spans="1:18">
      <c r="A2" s="1787" t="s">
        <v>2038</v>
      </c>
      <c r="B2" s="1787"/>
      <c r="C2" s="1787"/>
      <c r="D2" s="1787"/>
      <c r="E2" s="1787"/>
      <c r="F2" s="1787"/>
      <c r="G2" s="1787"/>
      <c r="H2" s="1787"/>
      <c r="I2" s="1788"/>
      <c r="J2" s="1788"/>
      <c r="K2" s="1789" t="str">
        <f>"估价期日："&amp;TEXT(项目基本情况!D3,"yyyy年m月d日;;")</f>
        <v>估价期日：2020年7月15日</v>
      </c>
      <c r="L2" s="1787"/>
      <c r="M2" s="1787"/>
      <c r="N2" s="1787"/>
      <c r="O2" s="1787"/>
      <c r="P2" s="1787"/>
      <c r="Q2" s="1787"/>
      <c r="R2" s="1789" t="str">
        <f>"估价期日的国有建设用地使用权性质："&amp;项目基本情况!B16</f>
        <v>估价期日的国有建设用地使用权性质：出让</v>
      </c>
    </row>
    <row r="3" spans="1:18" ht="23.25" customHeight="1">
      <c r="A3" s="3312" t="s">
        <v>2027</v>
      </c>
      <c r="B3" s="3312" t="s">
        <v>2727</v>
      </c>
      <c r="C3" s="3313" t="s">
        <v>2028</v>
      </c>
      <c r="D3" s="3312" t="s">
        <v>2731</v>
      </c>
      <c r="E3" s="3315" t="s">
        <v>2029</v>
      </c>
      <c r="F3" s="3315"/>
      <c r="G3" s="3315"/>
      <c r="H3" s="3315" t="s">
        <v>2030</v>
      </c>
      <c r="I3" s="3315"/>
      <c r="J3" s="3315"/>
      <c r="K3" s="3313" t="s">
        <v>2031</v>
      </c>
      <c r="L3" s="3313" t="s">
        <v>2032</v>
      </c>
      <c r="M3" s="3312" t="s">
        <v>2728</v>
      </c>
      <c r="N3" s="3314" t="str">
        <f>"（分摊）"&amp;项目基本情况!B16&amp;"国有建设用地使用权面积/㎡"</f>
        <v>（分摊）出让国有建设用地使用权面积/㎡</v>
      </c>
      <c r="O3" s="3312" t="s">
        <v>2061</v>
      </c>
      <c r="P3" s="3313" t="s">
        <v>2041</v>
      </c>
      <c r="Q3" s="3313" t="s">
        <v>2062</v>
      </c>
      <c r="R3" s="3313" t="s">
        <v>2033</v>
      </c>
    </row>
    <row r="4" spans="1:18" ht="36.75" customHeight="1">
      <c r="A4" s="3312"/>
      <c r="B4" s="3312"/>
      <c r="C4" s="3313"/>
      <c r="D4" s="3312"/>
      <c r="E4" s="2608" t="s">
        <v>2040</v>
      </c>
      <c r="F4" s="2608" t="s">
        <v>2740</v>
      </c>
      <c r="G4" s="2608" t="s">
        <v>2034</v>
      </c>
      <c r="H4" s="2608" t="s">
        <v>2035</v>
      </c>
      <c r="I4" s="2608" t="s">
        <v>2741</v>
      </c>
      <c r="J4" s="2608" t="s">
        <v>2034</v>
      </c>
      <c r="K4" s="3313"/>
      <c r="L4" s="3313"/>
      <c r="M4" s="3312"/>
      <c r="N4" s="3314"/>
      <c r="O4" s="3312"/>
      <c r="P4" s="3313"/>
      <c r="Q4" s="3313"/>
      <c r="R4" s="3313"/>
    </row>
    <row r="5" spans="1:18" ht="135" customHeight="1">
      <c r="A5" s="1923" t="s">
        <v>2651</v>
      </c>
      <c r="B5" s="2817" t="s">
        <v>2649</v>
      </c>
      <c r="C5" s="2607">
        <v>22</v>
      </c>
      <c r="D5" s="2606" t="s">
        <v>2650</v>
      </c>
      <c r="E5" s="1790" t="str">
        <f>项目基本情况!B12</f>
        <v>商业、办公</v>
      </c>
      <c r="F5" s="2606">
        <v>258</v>
      </c>
      <c r="G5" s="1790" t="str">
        <f>项目基本情况!B13</f>
        <v>商业、办公</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红线外七通、宗地红线内场地平整</v>
      </c>
      <c r="M5" s="1790">
        <f>IF(项目基本情况!B16="出让",项目基本情况!D20,"——")</f>
        <v>0</v>
      </c>
      <c r="N5" s="1790">
        <f>项目基本情况!C22</f>
        <v>40278.800000000003</v>
      </c>
      <c r="O5" s="1790">
        <f>项目基本情况!C21</f>
        <v>155053</v>
      </c>
      <c r="P5" s="1790">
        <f ca="1">结果表!E42</f>
        <v>26534</v>
      </c>
      <c r="Q5" s="1790">
        <f ca="1">结果表!D42</f>
        <v>6893</v>
      </c>
      <c r="R5" s="1791">
        <f ca="1">结果表!C42</f>
        <v>106875</v>
      </c>
    </row>
    <row r="6" spans="1:18">
      <c r="A6" s="3316" t="str">
        <f>IF(项目基本情况!B9="市场价格","——","抵押价格")</f>
        <v>抵押价格</v>
      </c>
      <c r="B6" s="3317"/>
      <c r="C6" s="3317"/>
      <c r="D6" s="3317"/>
      <c r="E6" s="3317"/>
      <c r="F6" s="3317"/>
      <c r="G6" s="3317"/>
      <c r="H6" s="3317"/>
      <c r="I6" s="3317"/>
      <c r="J6" s="3317"/>
      <c r="K6" s="3317"/>
      <c r="L6" s="3317"/>
      <c r="M6" s="3317"/>
      <c r="N6" s="3317"/>
      <c r="O6" s="3317"/>
      <c r="P6" s="3317"/>
      <c r="Q6" s="3318"/>
      <c r="R6" s="1792">
        <f ca="1">结果表!O39</f>
        <v>100855</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92" t="str">
        <f>结果表!O40</f>
        <v>——</v>
      </c>
    </row>
    <row r="8" spans="1:18">
      <c r="A8" s="3316" t="str">
        <f>IF(项目基本情况!B9="市场价格","——",项目基本情况!E9)</f>
        <v>——</v>
      </c>
      <c r="B8" s="3317"/>
      <c r="C8" s="3317"/>
      <c r="D8" s="3317"/>
      <c r="E8" s="3317"/>
      <c r="F8" s="3317"/>
      <c r="G8" s="3317"/>
      <c r="H8" s="3317"/>
      <c r="I8" s="3317"/>
      <c r="J8" s="3317"/>
      <c r="K8" s="3317"/>
      <c r="L8" s="3317"/>
      <c r="M8" s="3317"/>
      <c r="N8" s="3317"/>
      <c r="O8" s="3317"/>
      <c r="P8" s="3317"/>
      <c r="Q8" s="3318"/>
      <c r="R8" s="1792" t="str">
        <f>结果表!O41</f>
        <v>——</v>
      </c>
    </row>
    <row r="9" spans="1:18">
      <c r="A9" s="1793" t="s">
        <v>2039</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2026</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2" customWidth="1"/>
    <col min="2" max="3" width="21.33203125" style="1782" customWidth="1"/>
    <col min="4" max="4" width="19.88671875" style="1782" customWidth="1"/>
    <col min="5" max="16384" width="9" style="1782"/>
  </cols>
  <sheetData>
    <row r="1" spans="1:4">
      <c r="A1" s="3320" t="s">
        <v>2063</v>
      </c>
      <c r="B1" s="3320"/>
      <c r="C1" s="3320"/>
      <c r="D1" s="3320"/>
    </row>
    <row r="2" spans="1:4" ht="47.25" customHeight="1">
      <c r="A2" s="3321" t="str">
        <f>"1.权利限制："&amp;项目基本情况!L24&amp;"未设定租赁等其他他项权利。"</f>
        <v>1.权利限制：根据估价对象《不动产权证书》原件、《国有土地使用权》复印件，截至估价期日，估价对象抵押权未见登记。未设定租赁等其他他项权利。</v>
      </c>
      <c r="B2" s="3321"/>
      <c r="C2" s="3321"/>
      <c r="D2" s="3321"/>
    </row>
    <row r="3" spans="1:4" ht="48" customHeight="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20"/>
      <c r="C3" s="3320"/>
      <c r="D3" s="3320"/>
    </row>
    <row r="4" spans="1:4" ht="36.75" customHeight="1">
      <c r="A4" s="3320" t="str">
        <f>"3.估价规划限制条件：详见"&amp;项目基本情况!E21&amp;"。"</f>
        <v>3.估价规划限制条件：详见《建设工程规划许可证》[]、《出让合同》[]。</v>
      </c>
      <c r="B4" s="3320"/>
      <c r="C4" s="3320"/>
      <c r="D4" s="3320"/>
    </row>
    <row r="5" spans="1:4">
      <c r="A5" s="3319" t="s">
        <v>2064</v>
      </c>
      <c r="B5" s="3319"/>
      <c r="C5" s="3319"/>
      <c r="D5" s="3319"/>
    </row>
    <row r="6" spans="1:4">
      <c r="A6" s="3320" t="s">
        <v>2042</v>
      </c>
      <c r="B6" s="3320"/>
      <c r="C6" s="3320"/>
      <c r="D6" s="3320"/>
    </row>
    <row r="7" spans="1:4" ht="33" customHeight="1">
      <c r="A7" s="3320" t="s">
        <v>2571</v>
      </c>
      <c r="B7" s="3320"/>
      <c r="C7" s="3320"/>
      <c r="D7" s="3320"/>
    </row>
    <row r="8" spans="1:4" ht="32.25" customHeight="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0"/>
      <c r="C8" s="3320"/>
      <c r="D8" s="3320"/>
    </row>
    <row r="9" spans="1:4" ht="33.75" customHeight="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0"/>
      <c r="C9" s="3320"/>
      <c r="D9" s="3320"/>
    </row>
    <row r="10" spans="1:4">
      <c r="A10" s="3320" t="str">
        <f>IF(项目基本情况!B8="抵押","4.估价师所知悉的法定优先受偿款情况为：","——")</f>
        <v>4.估价师所知悉的法定优先受偿款情况为：</v>
      </c>
      <c r="B10" s="3320"/>
      <c r="C10" s="3320"/>
      <c r="D10" s="3320"/>
    </row>
    <row r="11" spans="1:4" ht="37.5" customHeight="1">
      <c r="A11" s="33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2"/>
      <c r="C11" s="3322"/>
      <c r="D11" s="3322"/>
    </row>
    <row r="12" spans="1:4" ht="168" customHeight="1">
      <c r="A12" s="3319" t="s">
        <v>2066</v>
      </c>
      <c r="B12" s="3319"/>
      <c r="C12" s="3319"/>
      <c r="D12" s="3319"/>
    </row>
    <row r="13" spans="1:4">
      <c r="A13" s="3323" t="s">
        <v>2742</v>
      </c>
      <c r="B13" s="3323"/>
      <c r="C13" s="3323"/>
      <c r="D13" s="3323"/>
    </row>
    <row r="14" spans="1:4">
      <c r="A14" s="3322" t="str">
        <f>IF(项目基本情况!B8="抵押","综上，"&amp;结果表!K47,"——")</f>
        <v>综上，本次评估估价师知悉的法定优先受偿款为人民币6020万元整。</v>
      </c>
      <c r="B14" s="3322"/>
      <c r="C14" s="3322"/>
      <c r="D14" s="3322"/>
    </row>
    <row r="15" spans="1:4" ht="58.5" customHeight="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0"/>
      <c r="C15" s="3320"/>
      <c r="D15" s="3320"/>
    </row>
    <row r="16" spans="1:4" ht="70.5" customHeight="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0"/>
      <c r="C16" s="3320"/>
      <c r="D16" s="3320"/>
    </row>
    <row r="17" spans="1:4">
      <c r="A17" s="3320" t="s">
        <v>2698</v>
      </c>
      <c r="B17" s="3320"/>
      <c r="C17" s="3320"/>
      <c r="D17" s="3320"/>
    </row>
    <row r="18" spans="1:4">
      <c r="A18" s="3320" t="s">
        <v>2690</v>
      </c>
      <c r="B18" s="3320"/>
      <c r="C18" s="3320"/>
      <c r="D18" s="3320"/>
    </row>
    <row r="19" spans="1:4">
      <c r="A19" s="2818" t="s">
        <v>2691</v>
      </c>
      <c r="B19" s="2818" t="s">
        <v>2692</v>
      </c>
      <c r="C19" s="2818" t="s">
        <v>2693</v>
      </c>
      <c r="D19" s="2818" t="s">
        <v>2694</v>
      </c>
    </row>
    <row r="20" spans="1:4">
      <c r="A20" s="2818" t="str">
        <f>项目基本情况!B4</f>
        <v>土地估价师</v>
      </c>
      <c r="B20" s="2818">
        <f>项目基本情况!C4</f>
        <v>0</v>
      </c>
      <c r="C20" s="2820"/>
      <c r="D20" s="1780" t="s">
        <v>2699</v>
      </c>
    </row>
    <row r="21" spans="1:4">
      <c r="A21" s="2818" t="str">
        <f>项目基本情况!D4</f>
        <v>土地估价师</v>
      </c>
      <c r="B21" s="2818">
        <f>项目基本情况!E4</f>
        <v>0</v>
      </c>
      <c r="C21" s="2820"/>
      <c r="D21" s="1780" t="s">
        <v>2700</v>
      </c>
    </row>
    <row r="23" spans="1:4">
      <c r="A23" s="3320" t="s">
        <v>2695</v>
      </c>
      <c r="B23" s="3320"/>
      <c r="C23" s="3320"/>
      <c r="D23" s="3320"/>
    </row>
    <row r="24" spans="1:4">
      <c r="A24" s="2818" t="s">
        <v>2691</v>
      </c>
      <c r="B24" s="2818" t="s">
        <v>2696</v>
      </c>
      <c r="C24" s="2818" t="s">
        <v>2693</v>
      </c>
      <c r="D24" s="2818" t="s">
        <v>2694</v>
      </c>
    </row>
    <row r="25" spans="1:4">
      <c r="A25" s="2821" t="s">
        <v>2697</v>
      </c>
      <c r="B25" s="2818" t="s">
        <v>952</v>
      </c>
      <c r="C25" s="2820"/>
      <c r="D25" s="1780" t="s">
        <v>2700</v>
      </c>
    </row>
    <row r="29" spans="1:4">
      <c r="D29" s="2819" t="s">
        <v>2037</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7" customWidth="1"/>
    <col min="2" max="16384" width="14.44140625" style="1155"/>
  </cols>
  <sheetData>
    <row r="1" spans="1:7" s="1153" customFormat="1" ht="17.399999999999999">
      <c r="A1" s="1152" t="s">
        <v>65</v>
      </c>
    </row>
    <row r="3" spans="1:7">
      <c r="A3" s="1154" t="s">
        <v>66</v>
      </c>
      <c r="B3" s="1155" t="s">
        <v>67</v>
      </c>
      <c r="G3" s="1156"/>
    </row>
    <row r="4" spans="1:7">
      <c r="G4" s="1156"/>
    </row>
    <row r="5" spans="1:7">
      <c r="A5" s="1158" t="s">
        <v>45</v>
      </c>
      <c r="B5" s="1155" t="s">
        <v>46</v>
      </c>
      <c r="G5" s="1156"/>
    </row>
    <row r="6" spans="1:7">
      <c r="G6" s="1156"/>
    </row>
    <row r="7" spans="1:7">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4">
      <c r="A15" s="3331" t="s">
        <v>53</v>
      </c>
      <c r="B15" s="3332" t="s">
        <v>846</v>
      </c>
      <c r="C15" s="3328"/>
    </row>
    <row r="16" spans="1:7" ht="14.4">
      <c r="A16" s="3331"/>
      <c r="B16" s="3329" t="s">
        <v>54</v>
      </c>
      <c r="C16" s="1164" t="s">
        <v>53</v>
      </c>
    </row>
    <row r="17" spans="1:3" ht="14.4">
      <c r="A17" s="3331"/>
      <c r="B17" s="3329"/>
      <c r="C17" s="1164" t="s">
        <v>55</v>
      </c>
    </row>
    <row r="18" spans="1:3" ht="14.4">
      <c r="A18" s="3331"/>
      <c r="B18" s="3329"/>
      <c r="C18" s="1164" t="s">
        <v>56</v>
      </c>
    </row>
    <row r="19" spans="1:3" ht="14.4">
      <c r="A19" s="3331"/>
      <c r="B19" s="3327" t="s">
        <v>57</v>
      </c>
      <c r="C19" s="3328"/>
    </row>
    <row r="20" spans="1:3" ht="14.4">
      <c r="A20" s="1165" t="s">
        <v>58</v>
      </c>
      <c r="B20" s="1166"/>
      <c r="C20" s="1167"/>
    </row>
    <row r="21" spans="1:3" ht="14.4">
      <c r="A21" s="3330" t="s">
        <v>59</v>
      </c>
      <c r="B21" s="3327" t="s">
        <v>60</v>
      </c>
      <c r="C21" s="3328"/>
    </row>
    <row r="22" spans="1:3" ht="14.4">
      <c r="A22" s="3330"/>
      <c r="B22" s="3327" t="s">
        <v>61</v>
      </c>
      <c r="C22" s="3328"/>
    </row>
    <row r="23" spans="1:3" ht="14.4">
      <c r="A23" s="3330"/>
      <c r="B23" s="3327" t="s">
        <v>62</v>
      </c>
      <c r="C23" s="3328"/>
    </row>
    <row r="24" spans="1:3" ht="14.4">
      <c r="A24" s="3330"/>
      <c r="B24" s="3333" t="s">
        <v>63</v>
      </c>
      <c r="C24" s="1168" t="s">
        <v>837</v>
      </c>
    </row>
    <row r="25" spans="1:3" ht="14.4">
      <c r="A25" s="3330"/>
      <c r="B25" s="3334"/>
      <c r="C25" s="1168" t="s">
        <v>838</v>
      </c>
    </row>
    <row r="26" spans="1:3" ht="14.4">
      <c r="A26" s="3330"/>
      <c r="B26" s="3334"/>
      <c r="C26" s="1168" t="s">
        <v>839</v>
      </c>
    </row>
    <row r="27" spans="1:3" ht="14.4">
      <c r="A27" s="3330"/>
      <c r="B27" s="3334"/>
      <c r="C27" s="1168" t="s">
        <v>840</v>
      </c>
    </row>
    <row r="28" spans="1:3" ht="14.4">
      <c r="A28" s="3330"/>
      <c r="B28" s="3334"/>
      <c r="C28" s="1168" t="s">
        <v>841</v>
      </c>
    </row>
    <row r="29" spans="1:3" ht="14.4">
      <c r="A29" s="3330"/>
      <c r="B29" s="3334"/>
      <c r="C29" s="1168" t="s">
        <v>842</v>
      </c>
    </row>
    <row r="30" spans="1:3" ht="14.4">
      <c r="A30" s="3330"/>
      <c r="B30" s="3334"/>
      <c r="C30" s="1168" t="s">
        <v>843</v>
      </c>
    </row>
    <row r="31" spans="1:3" ht="14.4">
      <c r="A31" s="3330"/>
      <c r="B31" s="3334"/>
      <c r="C31" s="1168" t="s">
        <v>844</v>
      </c>
    </row>
    <row r="32" spans="1:3" ht="14.4">
      <c r="A32" s="3330"/>
      <c r="B32" s="3334"/>
      <c r="C32" s="1168" t="s">
        <v>1646</v>
      </c>
    </row>
    <row r="33" spans="1:3" ht="14.4">
      <c r="A33" s="3330"/>
      <c r="B33" s="3324" t="s">
        <v>1652</v>
      </c>
      <c r="C33" s="1168" t="s">
        <v>1647</v>
      </c>
    </row>
    <row r="34" spans="1:3" ht="14.4">
      <c r="A34" s="3330"/>
      <c r="B34" s="3325"/>
      <c r="C34" s="1173" t="s">
        <v>1648</v>
      </c>
    </row>
    <row r="35" spans="1:3" ht="14.4">
      <c r="A35" s="3330"/>
      <c r="B35" s="3325"/>
      <c r="C35" s="1174" t="s">
        <v>1649</v>
      </c>
    </row>
    <row r="36" spans="1:3" ht="14.4">
      <c r="A36" s="3330"/>
      <c r="B36" s="3325"/>
      <c r="C36" s="1174" t="s">
        <v>1650</v>
      </c>
    </row>
    <row r="37" spans="1:3" ht="14.4">
      <c r="A37" s="3330"/>
      <c r="B37" s="3326"/>
      <c r="C37" s="1175" t="s">
        <v>1651</v>
      </c>
    </row>
    <row r="38" spans="1:3">
      <c r="A38" s="1169" t="s">
        <v>845</v>
      </c>
    </row>
    <row r="41" spans="1:3">
      <c r="A41" s="1169" t="s">
        <v>68</v>
      </c>
    </row>
    <row r="42" spans="1:3" ht="14.4">
      <c r="A42" s="1170" t="s">
        <v>853</v>
      </c>
    </row>
    <row r="43" spans="1:3" ht="14.4">
      <c r="A43" s="1171" t="s">
        <v>69</v>
      </c>
    </row>
    <row r="44" spans="1:3" ht="14.4">
      <c r="A44" s="1170" t="s">
        <v>852</v>
      </c>
    </row>
    <row r="45" spans="1:3" ht="14.4">
      <c r="A45" s="1172" t="s">
        <v>854</v>
      </c>
    </row>
    <row r="46" spans="1:3" ht="14.4">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15" customWidth="1"/>
    <col min="2" max="5" width="22.6640625" style="3115"/>
    <col min="6" max="6" width="25.6640625" style="3115" customWidth="1"/>
    <col min="7" max="16384" width="22.6640625" style="3115"/>
  </cols>
  <sheetData>
    <row r="2" spans="1:6" ht="20.25" customHeight="1">
      <c r="A2" s="3112" t="s">
        <v>1907</v>
      </c>
      <c r="B2" s="3113">
        <f ca="1">TODAY()</f>
        <v>44028</v>
      </c>
      <c r="C2" s="3114" t="s">
        <v>1908</v>
      </c>
      <c r="D2" s="3114"/>
    </row>
    <row r="3" spans="1:6" ht="20.25" customHeight="1">
      <c r="A3" s="3116" t="s">
        <v>1909</v>
      </c>
      <c r="B3" s="3117" t="s">
        <v>1910</v>
      </c>
      <c r="C3" s="3117" t="s">
        <v>1911</v>
      </c>
      <c r="D3" s="3118" t="s">
        <v>1912</v>
      </c>
      <c r="E3" s="3117" t="s">
        <v>1913</v>
      </c>
      <c r="F3" s="3117" t="s">
        <v>1911</v>
      </c>
    </row>
    <row r="4" spans="1:6" ht="20.25" customHeight="1">
      <c r="A4" s="3117" t="s">
        <v>1914</v>
      </c>
      <c r="B4" s="3117" t="str">
        <f ca="1">IF(C4&lt;B2,"已过期",1119970066)</f>
        <v>已过期</v>
      </c>
      <c r="C4" s="3119">
        <v>43849</v>
      </c>
      <c r="D4" s="3117" t="s">
        <v>1914</v>
      </c>
      <c r="E4" s="3117">
        <f ca="1">IF(F4&lt;B2,"已过期",96010014)</f>
        <v>96010014</v>
      </c>
      <c r="F4" s="3120">
        <v>47118</v>
      </c>
    </row>
    <row r="5" spans="1:6" ht="20.25" customHeight="1">
      <c r="A5" s="3117"/>
      <c r="B5" s="3117"/>
      <c r="C5" s="3119"/>
      <c r="D5" s="3117"/>
      <c r="E5" s="3117"/>
      <c r="F5" s="3120"/>
    </row>
    <row r="6" spans="1:6" ht="20.25" customHeight="1">
      <c r="A6" s="3117" t="s">
        <v>1915</v>
      </c>
      <c r="B6" s="3117">
        <f ca="1">IF(C6&lt;B2,"已过期",1119970111)</f>
        <v>1119970111</v>
      </c>
      <c r="C6" s="3119">
        <v>44876</v>
      </c>
      <c r="D6" s="3117" t="s">
        <v>1915</v>
      </c>
      <c r="E6" s="3117">
        <f ca="1">IF(F6&lt;B2,"已过期",94010078)</f>
        <v>94010078</v>
      </c>
      <c r="F6" s="3120">
        <v>46387</v>
      </c>
    </row>
    <row r="7" spans="1:6" ht="20.25" customHeight="1">
      <c r="A7" s="3117" t="s">
        <v>1916</v>
      </c>
      <c r="B7" s="3117">
        <f ca="1">IF(C7&lt;B2,"已过期",1120050019)</f>
        <v>1120050019</v>
      </c>
      <c r="C7" s="3119">
        <v>44395</v>
      </c>
      <c r="D7" s="3117" t="s">
        <v>1916</v>
      </c>
      <c r="E7" s="3117">
        <f ca="1">IF(F7&lt;B2,"已过期",2002110030)</f>
        <v>2002110030</v>
      </c>
      <c r="F7" s="3120">
        <v>46387</v>
      </c>
    </row>
    <row r="8" spans="1:6" ht="20.25" customHeight="1">
      <c r="A8" s="3117" t="s">
        <v>1917</v>
      </c>
      <c r="B8" s="3117" t="str">
        <f ca="1">IF(C8&lt;B2,"已过期",1120000080)</f>
        <v>已过期</v>
      </c>
      <c r="C8" s="3119">
        <v>43849</v>
      </c>
      <c r="D8" s="3117" t="s">
        <v>1917</v>
      </c>
      <c r="E8" s="3117">
        <f ca="1">IF(F8&lt;B2,"已过期",2000110082)</f>
        <v>2000110082</v>
      </c>
      <c r="F8" s="3120">
        <v>46387</v>
      </c>
    </row>
    <row r="9" spans="1:6" ht="20.25" customHeight="1">
      <c r="A9" s="3117" t="s">
        <v>1918</v>
      </c>
      <c r="B9" s="3117" t="str">
        <f ca="1">IF(C9&lt;B2,"已过期",1419970001)</f>
        <v>已过期</v>
      </c>
      <c r="C9" s="3119">
        <v>43867</v>
      </c>
      <c r="D9" s="3117" t="s">
        <v>1918</v>
      </c>
      <c r="E9" s="3117">
        <f ca="1">IF(F9&lt;B2,"已过期",2002110125)</f>
        <v>2002110125</v>
      </c>
      <c r="F9" s="3120">
        <v>47118</v>
      </c>
    </row>
    <row r="10" spans="1:6" ht="20.25" customHeight="1">
      <c r="A10" s="3117" t="s">
        <v>1919</v>
      </c>
      <c r="B10" s="3117">
        <f ca="1">IF(C10&lt;B2,"已过期",1120060040)</f>
        <v>1120060040</v>
      </c>
      <c r="C10" s="3119">
        <v>44554</v>
      </c>
      <c r="D10" s="3117" t="s">
        <v>1919</v>
      </c>
      <c r="E10" s="3117">
        <f ca="1">IF(F10&lt;B2,"已过期",2004110096)</f>
        <v>2004110096</v>
      </c>
      <c r="F10" s="3120">
        <v>47118</v>
      </c>
    </row>
    <row r="11" spans="1:6" ht="20.25" customHeight="1">
      <c r="A11" s="3117" t="s">
        <v>1920</v>
      </c>
      <c r="B11" s="3117">
        <f ca="1">IF(C11&lt;B2,"已过期",1120100036)</f>
        <v>1120100036</v>
      </c>
      <c r="C11" s="3119">
        <v>44675</v>
      </c>
      <c r="D11" s="3117" t="s">
        <v>1920</v>
      </c>
      <c r="E11" s="3117">
        <f ca="1">IF(F11&lt;B2,"已过期",2010110070)</f>
        <v>2010110070</v>
      </c>
      <c r="F11" s="3120">
        <v>47907</v>
      </c>
    </row>
    <row r="12" spans="1:6" ht="20.25" customHeight="1">
      <c r="A12" s="3117"/>
      <c r="B12" s="3117"/>
      <c r="C12" s="3119"/>
      <c r="D12" s="3117"/>
      <c r="E12" s="3117"/>
      <c r="F12" s="3120"/>
    </row>
    <row r="13" spans="1:6" ht="20.25" customHeight="1">
      <c r="A13" s="3117" t="s">
        <v>1921</v>
      </c>
      <c r="B13" s="3117">
        <f ca="1">IF(C13&lt;B2,"已过期",1120070131)</f>
        <v>1120070131</v>
      </c>
      <c r="C13" s="3119">
        <v>44849</v>
      </c>
      <c r="D13" s="3117" t="s">
        <v>1921</v>
      </c>
      <c r="E13" s="3117">
        <f ca="1">IF(F13&lt;B2,"已过期",2014110011)</f>
        <v>2014110011</v>
      </c>
      <c r="F13" s="3120">
        <v>49302</v>
      </c>
    </row>
    <row r="14" spans="1:6" ht="20.25" customHeight="1">
      <c r="A14" s="3117" t="s">
        <v>2973</v>
      </c>
      <c r="B14" s="3117">
        <f ca="1">IF(C14&lt;B2,"已过期",1120040230)</f>
        <v>1120040230</v>
      </c>
      <c r="C14" s="3121">
        <v>44864</v>
      </c>
      <c r="D14" s="3122" t="s">
        <v>2974</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2987</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1922</v>
      </c>
      <c r="E21" s="3117">
        <f ca="1">IF(F21&lt;B2,"已过期",2011110090)</f>
        <v>2011110090</v>
      </c>
      <c r="F21" s="3120">
        <v>48302</v>
      </c>
    </row>
    <row r="22" spans="1:7" ht="20.25" customHeight="1">
      <c r="A22" s="3117" t="s">
        <v>1923</v>
      </c>
      <c r="B22" s="3117">
        <f ca="1">IF(C22&lt;B2,"已过期",1120020033)</f>
        <v>1120020033</v>
      </c>
      <c r="C22" s="3119">
        <v>44339</v>
      </c>
      <c r="D22" s="3117" t="s">
        <v>1923</v>
      </c>
      <c r="E22" s="3117">
        <f ca="1">IF(F22&lt;B2,"已过期",2000110137)</f>
        <v>2000110137</v>
      </c>
      <c r="F22" s="3120">
        <v>46387</v>
      </c>
    </row>
    <row r="23" spans="1:7" ht="20.25" customHeight="1">
      <c r="A23" s="3117" t="s">
        <v>2989</v>
      </c>
      <c r="B23" s="3117">
        <v>1119980106</v>
      </c>
      <c r="C23" s="3119">
        <v>43916</v>
      </c>
      <c r="D23" s="3117"/>
      <c r="E23" s="3117"/>
      <c r="F23" s="3117"/>
    </row>
    <row r="24" spans="1:7" s="3125" customFormat="1" ht="20.25" customHeight="1">
      <c r="A24" s="3116" t="s">
        <v>2051</v>
      </c>
      <c r="B24" s="3116" t="s">
        <v>2051</v>
      </c>
      <c r="C24" s="3119"/>
      <c r="D24" s="3124" t="s">
        <v>2051</v>
      </c>
      <c r="E24" s="3116" t="s">
        <v>2051</v>
      </c>
      <c r="F24" s="3123"/>
    </row>
    <row r="25" spans="1:7" ht="20.25" customHeight="1">
      <c r="A25" s="3335" t="s">
        <v>1924</v>
      </c>
      <c r="B25" s="3335"/>
      <c r="C25" s="3335"/>
      <c r="D25" s="3335"/>
      <c r="E25" s="3335"/>
      <c r="F25" s="3335"/>
      <c r="G25" s="3335"/>
    </row>
    <row r="26" spans="1:7" ht="20.25" customHeight="1">
      <c r="A26" s="3336" t="s">
        <v>1925</v>
      </c>
      <c r="B26" s="3336"/>
      <c r="C26" s="3336"/>
      <c r="D26" s="3336" t="s">
        <v>1926</v>
      </c>
      <c r="E26" s="3336"/>
      <c r="F26" s="3336"/>
    </row>
    <row r="27" spans="1:7" s="3112" customFormat="1" ht="20.25" customHeight="1">
      <c r="A27" s="3126" t="s">
        <v>1927</v>
      </c>
      <c r="B27" s="3127" t="s">
        <v>1928</v>
      </c>
      <c r="C27" s="3127" t="s">
        <v>1929</v>
      </c>
      <c r="D27" s="3117" t="s">
        <v>1927</v>
      </c>
      <c r="E27" s="3127" t="s">
        <v>1928</v>
      </c>
      <c r="F27" s="3127" t="s">
        <v>1929</v>
      </c>
    </row>
    <row r="28" spans="1:7" s="3112" customFormat="1" ht="20.25" customHeight="1">
      <c r="A28" s="3128" t="s">
        <v>1930</v>
      </c>
      <c r="B28" s="3128" t="s">
        <v>1931</v>
      </c>
      <c r="C28" s="3120">
        <v>44820</v>
      </c>
      <c r="D28" s="3128" t="s">
        <v>1932</v>
      </c>
      <c r="E28" s="3128" t="s">
        <v>1933</v>
      </c>
      <c r="F28" s="3129">
        <v>44377</v>
      </c>
    </row>
    <row r="29" spans="1:7" s="3112" customFormat="1" ht="20.25" customHeight="1">
      <c r="A29" s="3128"/>
      <c r="B29" s="3128"/>
      <c r="C29" s="3130"/>
      <c r="D29" s="3128" t="s">
        <v>1934</v>
      </c>
      <c r="E29" s="3128" t="s">
        <v>2988</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3" workbookViewId="0">
      <selection activeCell="B21" sqref="B21"/>
    </sheetView>
  </sheetViews>
  <sheetFormatPr defaultColWidth="9" defaultRowHeight="13.8"/>
  <cols>
    <col min="1" max="1" width="10.33203125" style="1177" customWidth="1"/>
    <col min="2" max="2" width="18.88671875" style="115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5" customWidth="1"/>
    <col min="25" max="25" width="7.21875" style="1155" customWidth="1"/>
    <col min="26" max="16384" width="9" style="1155"/>
  </cols>
  <sheetData>
    <row r="1" spans="1:23" s="1176" customFormat="1" ht="28.8">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0" t="s">
        <v>874</v>
      </c>
    </row>
    <row r="2" spans="1:23" ht="14.4">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ht="14.4">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ht="14.4">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ht="14.4">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ht="14.4">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ht="14.4">
      <c r="A7" s="8" t="s">
        <v>102</v>
      </c>
      <c r="B7" s="8" t="s">
        <v>103</v>
      </c>
      <c r="C7" s="1532" t="s">
        <v>1714</v>
      </c>
      <c r="F7" s="9" t="s">
        <v>154</v>
      </c>
      <c r="H7" s="9" t="s">
        <v>104</v>
      </c>
      <c r="I7" s="9" t="s">
        <v>105</v>
      </c>
    </row>
    <row r="8" spans="1:23" ht="14.4">
      <c r="A8" s="8" t="s">
        <v>106</v>
      </c>
      <c r="B8" s="8" t="s">
        <v>107</v>
      </c>
      <c r="C8" s="1532" t="s">
        <v>1715</v>
      </c>
      <c r="F8" s="9" t="s">
        <v>155</v>
      </c>
      <c r="H8" s="9"/>
      <c r="I8" s="9" t="s">
        <v>108</v>
      </c>
    </row>
    <row r="9" spans="1:23" ht="14.4">
      <c r="A9" s="8" t="s">
        <v>109</v>
      </c>
      <c r="B9" s="8" t="s">
        <v>156</v>
      </c>
      <c r="C9" s="1532" t="s">
        <v>1716</v>
      </c>
      <c r="F9" s="9" t="s">
        <v>110</v>
      </c>
      <c r="H9" s="9"/>
    </row>
    <row r="10" spans="1:23" ht="14.4">
      <c r="A10" s="8" t="s">
        <v>111</v>
      </c>
      <c r="B10" s="8" t="s">
        <v>157</v>
      </c>
      <c r="C10" s="1532" t="s">
        <v>1717</v>
      </c>
      <c r="F10" s="9" t="s">
        <v>6</v>
      </c>
    </row>
    <row r="11" spans="1:23" ht="14.4">
      <c r="A11" s="8" t="s">
        <v>112</v>
      </c>
      <c r="B11" s="8" t="s">
        <v>158</v>
      </c>
      <c r="C11" s="1532" t="s">
        <v>1718</v>
      </c>
    </row>
    <row r="12" spans="1:23" ht="14.4">
      <c r="A12" s="8" t="s">
        <v>113</v>
      </c>
      <c r="B12" s="8" t="s">
        <v>159</v>
      </c>
      <c r="C12" s="1532" t="s">
        <v>1719</v>
      </c>
    </row>
    <row r="13" spans="1:23" ht="14.4">
      <c r="A13" s="8" t="s">
        <v>114</v>
      </c>
      <c r="B13" s="8" t="s">
        <v>160</v>
      </c>
      <c r="C13" s="1532" t="s">
        <v>1720</v>
      </c>
    </row>
    <row r="14" spans="1:23" ht="14.4">
      <c r="A14" s="8" t="s">
        <v>115</v>
      </c>
      <c r="B14" s="8" t="s">
        <v>161</v>
      </c>
      <c r="C14" s="1535" t="s">
        <v>1896</v>
      </c>
    </row>
    <row r="15" spans="1:23" ht="14.4">
      <c r="A15" s="8" t="s">
        <v>116</v>
      </c>
      <c r="B15" s="8" t="s">
        <v>1681</v>
      </c>
      <c r="C15" s="1535"/>
    </row>
    <row r="16" spans="1:23" ht="14.4">
      <c r="A16" s="8" t="s">
        <v>117</v>
      </c>
      <c r="B16" s="8" t="s">
        <v>1682</v>
      </c>
      <c r="C16" s="1535"/>
    </row>
    <row r="17" spans="1:3" ht="14.4">
      <c r="A17" s="8" t="s">
        <v>118</v>
      </c>
      <c r="B17" s="8" t="s">
        <v>1683</v>
      </c>
      <c r="C17" s="1535"/>
    </row>
    <row r="18" spans="1:3" ht="14.4">
      <c r="A18" s="8" t="s">
        <v>119</v>
      </c>
      <c r="B18" s="3050" t="s">
        <v>2947</v>
      </c>
      <c r="C18" s="1535"/>
    </row>
    <row r="19" spans="1:3" ht="14.4">
      <c r="A19" s="8" t="s">
        <v>120</v>
      </c>
      <c r="B19" s="3050" t="s">
        <v>2955</v>
      </c>
      <c r="C19" s="1535"/>
    </row>
    <row r="20" spans="1:3" ht="15.6">
      <c r="A20" s="8" t="s">
        <v>121</v>
      </c>
      <c r="B20" s="3182" t="s">
        <v>3173</v>
      </c>
      <c r="C20" s="1535"/>
    </row>
    <row r="21" spans="1:3" ht="15.6">
      <c r="A21" s="8" t="s">
        <v>122</v>
      </c>
      <c r="B21" s="3182" t="s">
        <v>3106</v>
      </c>
      <c r="C21" s="1535"/>
    </row>
    <row r="22" spans="1:3" ht="14.4">
      <c r="A22" s="8" t="s">
        <v>123</v>
      </c>
      <c r="B22" s="8" t="s">
        <v>1641</v>
      </c>
      <c r="C22" s="1535"/>
    </row>
    <row r="23" spans="1:3" ht="14.4">
      <c r="A23" s="8" t="s">
        <v>124</v>
      </c>
      <c r="B23" s="8" t="s">
        <v>1641</v>
      </c>
      <c r="C23" s="1535"/>
    </row>
    <row r="24" spans="1:3">
      <c r="A24" s="8" t="s">
        <v>12</v>
      </c>
      <c r="B24" s="8" t="s">
        <v>1641</v>
      </c>
      <c r="C24" s="1535"/>
    </row>
    <row r="25" spans="1:3" ht="14.4">
      <c r="A25" s="8" t="s">
        <v>125</v>
      </c>
      <c r="B25" s="8" t="s">
        <v>1641</v>
      </c>
      <c r="C25" s="1535"/>
    </row>
    <row r="26" spans="1:3" ht="14.4">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1984</v>
      </c>
      <c r="B52" s="1748" t="s">
        <v>1985</v>
      </c>
      <c r="C52" s="1746" t="s">
        <v>1986</v>
      </c>
      <c r="D52" s="1746" t="s">
        <v>1987</v>
      </c>
      <c r="E52" s="1747"/>
    </row>
    <row r="53" spans="1:5">
      <c r="A53" s="3337" t="s">
        <v>1988</v>
      </c>
      <c r="B53" s="1746" t="s">
        <v>1994</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c r="D53" s="1747"/>
      <c r="E53" s="1747"/>
    </row>
    <row r="54" spans="1:5">
      <c r="A54" s="3337"/>
      <c r="B54" s="1746" t="s">
        <v>1995</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337"/>
      <c r="B55" s="1746" t="s">
        <v>1989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337"/>
      <c r="B56" s="1746" t="s">
        <v>1990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337"/>
      <c r="B57" s="1746" t="s">
        <v>1991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ht="14.4">
      <c r="A58" s="1749" t="s">
        <v>2047</v>
      </c>
      <c r="B58" s="1746"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2020-07-16T13:05:06Z</dcterms:modified>
</cp:coreProperties>
</file>