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抵押物范围" sheetId="78"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公寓"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'比较法-公寓'!$A$1:$L$49</definedName>
    <definedName name="_xlnm._FilterDatabase" localSheetId="29" hidden="1">'比较法-商业'!$A$1:$L$49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9">结果表!$A$1:$I$142</definedName>
    <definedName name="_xlnm.Print_Area" localSheetId="24">收益法!$A$1:$AK$69</definedName>
    <definedName name="_xlnm.Print_Area" localSheetId="25">'收益法 (元)'!$A$1:$AK$69</definedName>
    <definedName name="_xlnm.Print_Area" localSheetId="15">'数据-汇总表'!$A$1:$P$32</definedName>
    <definedName name="_xlnm.Print_Area" localSheetId="11">'数据-基础表'!$A$1:$AE$14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'比较法-公寓'!$B$88:$M$88</definedName>
    <definedName name="住宅房型" localSheetId="13">'[1]比较法-住宅'!$B$118:$M$118</definedName>
    <definedName name="住宅房型">'比较法-公寓'!$B$118:$M$118</definedName>
    <definedName name="住宅公共部分装修" localSheetId="13">'[1]比较法-住宅'!$B$109:$M$109</definedName>
    <definedName name="住宅公共部分装修">'比较法-公寓'!$B$109:$M$109</definedName>
    <definedName name="住宅基础设施水平" localSheetId="13">'[1]比较法-住宅'!$B$116:$M$116</definedName>
    <definedName name="住宅基础设施水平">'比较法-公寓'!$B$116:$M$116</definedName>
    <definedName name="住宅建筑结构" localSheetId="13">'[1]比较法-住宅'!$B$105:$M$105</definedName>
    <definedName name="住宅建筑结构">'比较法-公寓'!$B$105:$M$105</definedName>
    <definedName name="住宅建筑类型" localSheetId="13">'[1]比较法-住宅'!$B$100:$M$100</definedName>
    <definedName name="住宅建筑类型">'比较法-公寓'!$B$100:$M$100</definedName>
    <definedName name="住宅建筑品质" localSheetId="13">'[1]比较法-住宅'!$B$107:$M$107</definedName>
    <definedName name="住宅建筑品质">'比较法-公寓'!$B$107:$M$107</definedName>
    <definedName name="住宅交易情况" localSheetId="13">'[1]比较法-住宅'!$A$61:$M$61</definedName>
    <definedName name="住宅交易情况">'比较法-公寓'!$A$61:$M$61</definedName>
    <definedName name="住宅楼层" localSheetId="13">'[1]比较法-住宅'!$B$86:$M$86</definedName>
    <definedName name="住宅楼层">'比较法-公寓'!$B$86:$M$86</definedName>
    <definedName name="住宅内部装修" localSheetId="13">'[1]比较法-住宅'!$B$122:$M$122</definedName>
    <definedName name="住宅内部装修">'比较法-公寓'!$B$122:$M$122</definedName>
    <definedName name="住宅物业管理" localSheetId="13">'[1]比较法-住宅'!$B$114:$M$114</definedName>
    <definedName name="住宅物业管理">'比较法-公寓'!$B$114:$M$114</definedName>
    <definedName name="住宅用途" localSheetId="13">'[1]比较法-住宅'!$B$63:$M$63</definedName>
    <definedName name="住宅用途">'比较法-公寓'!$B$63:$M$63</definedName>
    <definedName name="住宅主力户型面积">'比较法-公寓'!$B$120:$M$120</definedName>
    <definedName name="注册房地产估价师" localSheetId="1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G37" i="21" l="1"/>
  <c r="E37" i="21"/>
  <c r="E724" i="78"/>
  <c r="E40" i="9"/>
  <c r="E41" i="9"/>
  <c r="K38" i="9"/>
  <c r="K37" i="9"/>
  <c r="K33" i="9"/>
  <c r="K36" i="9"/>
  <c r="L102" i="9"/>
  <c r="M81" i="9"/>
  <c r="M83" i="9"/>
  <c r="B40" i="9"/>
  <c r="K34" i="9"/>
  <c r="L33" i="9"/>
  <c r="C37" i="9"/>
  <c r="C38" i="39"/>
  <c r="C10" i="39"/>
  <c r="C11" i="39"/>
  <c r="C6" i="39"/>
  <c r="AD14" i="3"/>
  <c r="C38" i="9"/>
  <c r="C90" i="9"/>
  <c r="L34" i="9"/>
  <c r="C88" i="9"/>
  <c r="I91" i="9"/>
  <c r="C5" i="21"/>
  <c r="F19" i="6"/>
  <c r="C19" i="6"/>
  <c r="O14" i="3"/>
  <c r="M14" i="3"/>
  <c r="K14" i="3"/>
  <c r="I14" i="3"/>
  <c r="C65" i="77"/>
  <c r="I13" i="3"/>
  <c r="D79" i="78"/>
  <c r="A3" i="3"/>
  <c r="P80" i="77"/>
  <c r="P79" i="77"/>
  <c r="H79" i="77"/>
  <c r="H86" i="77"/>
  <c r="P78" i="77"/>
  <c r="P76" i="77"/>
  <c r="C72" i="77"/>
  <c r="H68" i="77"/>
  <c r="C67" i="77"/>
  <c r="C66" i="77"/>
  <c r="D59" i="77"/>
  <c r="C69" i="77"/>
  <c r="D55" i="77"/>
  <c r="C68" i="77"/>
  <c r="D45" i="77"/>
  <c r="D56" i="77"/>
  <c r="E17" i="77"/>
  <c r="D10" i="77"/>
  <c r="D9" i="77"/>
  <c r="R7" i="77"/>
  <c r="D73" i="77"/>
  <c r="R6" i="77"/>
  <c r="D71" i="77"/>
  <c r="D74" i="77"/>
  <c r="D6" i="77"/>
  <c r="Q2" i="77"/>
  <c r="F16" i="4"/>
  <c r="H77" i="77"/>
  <c r="P77" i="77"/>
  <c r="D58" i="77"/>
  <c r="D61" i="77"/>
  <c r="C70" i="77"/>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B5" i="71"/>
  <c r="D6" i="71"/>
  <c r="U6" i="71"/>
  <c r="C5"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8" i="71"/>
  <c r="P8" i="71"/>
  <c r="O8" i="71"/>
  <c r="N8" i="71"/>
  <c r="D5" i="43"/>
  <c r="A15" i="51"/>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c r="C50" i="71"/>
  <c r="B50" i="71"/>
  <c r="S50"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O13" i="71"/>
  <c r="Y13" i="71"/>
  <c r="Z13" i="71"/>
  <c r="N13" i="71"/>
  <c r="X11" i="71"/>
  <c r="Q12" i="71"/>
  <c r="AB12" i="71"/>
  <c r="P12" i="71"/>
  <c r="O12" i="71"/>
  <c r="Y12" i="71"/>
  <c r="Z12" i="71"/>
  <c r="N12" i="71"/>
  <c r="Q11" i="71"/>
  <c r="F12" i="71"/>
  <c r="F13" i="71"/>
  <c r="F14" i="71"/>
  <c r="V14" i="71"/>
  <c r="P11" i="71"/>
  <c r="O11" i="71"/>
  <c r="N11" i="71"/>
  <c r="D11" i="71"/>
  <c r="O10" i="71"/>
  <c r="N10" i="71"/>
  <c r="B12" i="71"/>
  <c r="B13" i="71"/>
  <c r="B14" i="71"/>
  <c r="S14"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9" i="71"/>
  <c r="D29" i="71"/>
  <c r="D28" i="71"/>
  <c r="C33" i="71"/>
  <c r="D32" i="71"/>
  <c r="P10" i="71"/>
  <c r="E37" i="71"/>
  <c r="E38" i="71"/>
  <c r="U38" i="71"/>
  <c r="E41" i="71"/>
  <c r="E42" i="71"/>
  <c r="U42" i="71"/>
  <c r="E45" i="71"/>
  <c r="E46" i="71"/>
  <c r="U46" i="71"/>
  <c r="U50" i="71"/>
  <c r="E49" i="71"/>
  <c r="Q10" i="71"/>
  <c r="C37" i="71"/>
  <c r="D36" i="71"/>
  <c r="C41" i="71"/>
  <c r="D40" i="71"/>
  <c r="C45" i="71"/>
  <c r="D44" i="71"/>
  <c r="N49" i="71"/>
  <c r="B48"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6" i="71"/>
  <c r="D45" i="71"/>
  <c r="D65" i="71"/>
  <c r="C64" i="71"/>
  <c r="D64" i="71"/>
  <c r="D57" i="71"/>
  <c r="C56" i="71"/>
  <c r="D56" i="71"/>
  <c r="N47" i="71"/>
  <c r="N48" i="71"/>
  <c r="D69" i="71"/>
  <c r="C68" i="71"/>
  <c r="D68" i="71"/>
  <c r="D61" i="71"/>
  <c r="C60" i="71"/>
  <c r="D60" i="71"/>
  <c r="D53" i="71"/>
  <c r="C52" i="71"/>
  <c r="D52" i="71"/>
  <c r="C42" i="71"/>
  <c r="D41" i="71"/>
  <c r="C38" i="71"/>
  <c r="D37" i="71"/>
  <c r="P49" i="71"/>
  <c r="E48" i="71"/>
  <c r="P47" i="71"/>
  <c r="C34" i="71"/>
  <c r="D33" i="71"/>
  <c r="C22" i="71"/>
  <c r="D21" i="71"/>
  <c r="C18" i="71"/>
  <c r="D17" i="71"/>
  <c r="C14" i="71"/>
  <c r="D13" i="71"/>
  <c r="C8" i="71"/>
  <c r="D8" i="71"/>
  <c r="D9" i="71"/>
  <c r="V10" i="71"/>
  <c r="P48" i="71"/>
  <c r="O48" i="71"/>
  <c r="D48" i="71"/>
  <c r="O47" i="71"/>
  <c r="T14" i="71"/>
  <c r="D14" i="71"/>
  <c r="T18" i="71"/>
  <c r="D18" i="71"/>
  <c r="T22" i="71"/>
  <c r="D22" i="71"/>
  <c r="T34" i="71"/>
  <c r="D34" i="71"/>
  <c r="T38" i="71"/>
  <c r="D38" i="71"/>
  <c r="T42" i="71"/>
  <c r="D42"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D83" i="21"/>
  <c r="F21" i="21"/>
  <c r="AA21" i="21"/>
  <c r="D81" i="21"/>
  <c r="G20" i="20"/>
  <c r="B86" i="43"/>
  <c r="C22" i="20"/>
  <c r="B75" i="43"/>
  <c r="B55" i="43"/>
  <c r="B66" i="43"/>
  <c r="C25" i="40"/>
  <c r="C29" i="39"/>
  <c r="S25" i="40"/>
  <c r="S29" i="39"/>
  <c r="S18" i="36"/>
  <c r="U18" i="36"/>
  <c r="S21" i="34"/>
  <c r="F94" i="40"/>
  <c r="H25" i="40"/>
  <c r="G94" i="40"/>
  <c r="J25" i="40"/>
  <c r="H29" i="39"/>
  <c r="AB29" i="39"/>
  <c r="J29" i="39"/>
  <c r="AC29" i="39"/>
  <c r="J18" i="36"/>
  <c r="AC18" i="36"/>
  <c r="F68" i="35"/>
  <c r="H18" i="35"/>
  <c r="AB18" i="35"/>
  <c r="S18" i="35"/>
  <c r="G68" i="35"/>
  <c r="J18" i="35"/>
  <c r="F77" i="37"/>
  <c r="G77" i="37"/>
  <c r="H21" i="37"/>
  <c r="F21" i="37"/>
  <c r="AA21" i="37"/>
  <c r="H21" i="34"/>
  <c r="AB21" i="34"/>
  <c r="F83" i="33"/>
  <c r="H21" i="33"/>
  <c r="U21" i="33"/>
  <c r="F21" i="33"/>
  <c r="E83" i="21"/>
  <c r="F83" i="21"/>
  <c r="G83" i="21"/>
  <c r="H1" i="69"/>
  <c r="AC25" i="40"/>
  <c r="W25" i="40"/>
  <c r="AB25" i="40"/>
  <c r="U25" i="40"/>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AB21" i="21"/>
  <c r="J21" i="21"/>
  <c r="AC21" i="21"/>
  <c r="F38" i="68"/>
  <c r="E37" i="68"/>
  <c r="F36" i="68"/>
  <c r="F35" i="68"/>
  <c r="F21" i="68"/>
  <c r="C21" i="68"/>
  <c r="F20" i="68"/>
  <c r="E10" i="68"/>
  <c r="E9" i="68"/>
  <c r="F7" i="68"/>
  <c r="W21" i="21"/>
  <c r="Q72" i="67"/>
  <c r="Q59" i="67"/>
  <c r="Q58" i="67"/>
  <c r="Q51" i="67"/>
  <c r="J50" i="67"/>
  <c r="M47" i="67"/>
  <c r="J53"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C94" i="9"/>
  <c r="G12" i="1"/>
  <c r="J55" i="9"/>
  <c r="B31" i="1"/>
  <c r="E19" i="6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D85" i="21"/>
  <c r="F19" i="21"/>
  <c r="AA19" i="21"/>
  <c r="E81" i="21"/>
  <c r="F81" i="21"/>
  <c r="G81" i="21"/>
  <c r="D77" i="21"/>
  <c r="E77" i="21"/>
  <c r="B130" i="21"/>
  <c r="B128" i="21"/>
  <c r="J45" i="21"/>
  <c r="W45" i="21"/>
  <c r="B126" i="21"/>
  <c r="B98" i="21"/>
  <c r="H31" i="21"/>
  <c r="U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J8" i="21"/>
  <c r="AC8" i="21"/>
  <c r="H8" i="21"/>
  <c r="U8" i="21"/>
  <c r="H39" i="21"/>
  <c r="U39" i="21"/>
  <c r="J34" i="21"/>
  <c r="W34" i="21"/>
  <c r="H36" i="21"/>
  <c r="U36"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39" i="39"/>
  <c r="U39" i="39"/>
  <c r="S34" i="39"/>
  <c r="H34" i="39"/>
  <c r="U34" i="39"/>
  <c r="E109" i="39"/>
  <c r="F109" i="39"/>
  <c r="G109" i="39"/>
  <c r="H109" i="39"/>
  <c r="I109" i="39"/>
  <c r="J109" i="39"/>
  <c r="K109" i="39"/>
  <c r="L109" i="39"/>
  <c r="M109" i="39"/>
  <c r="H31" i="39"/>
  <c r="AB31" i="39"/>
  <c r="E101" i="39"/>
  <c r="H19" i="39"/>
  <c r="AB19" i="39"/>
  <c r="F19" i="39"/>
  <c r="AA19" i="39"/>
  <c r="H17" i="39"/>
  <c r="AB17" i="39"/>
  <c r="J23" i="40"/>
  <c r="AC23" i="40"/>
  <c r="F21" i="40"/>
  <c r="AA21" i="40"/>
  <c r="J21" i="40"/>
  <c r="W21" i="40"/>
  <c r="H42" i="39"/>
  <c r="AB42" i="39"/>
  <c r="J34" i="39"/>
  <c r="AC34" i="39"/>
  <c r="F101" i="39"/>
  <c r="H27" i="39"/>
  <c r="U27" i="39"/>
  <c r="J19" i="39"/>
  <c r="AC19" i="39"/>
  <c r="J17" i="39"/>
  <c r="J27" i="39"/>
  <c r="AC27" i="39"/>
  <c r="F27" i="39"/>
  <c r="U34" i="21"/>
  <c r="S34" i="21"/>
  <c r="C25" i="39"/>
  <c r="C27" i="39"/>
  <c r="C21" i="39"/>
  <c r="H1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Z585" i="3"/>
  <c r="F17" i="21"/>
  <c r="AA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H41" i="39"/>
  <c r="W27" i="39"/>
  <c r="AB34" i="39"/>
  <c r="W14"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E8" i="6"/>
  <c r="BC5" i="3"/>
  <c r="G17" i="3"/>
  <c r="BA17" i="3"/>
  <c r="BT5" i="3"/>
  <c r="AZ350" i="3"/>
  <c r="AZ352" i="3"/>
  <c r="AZ356" i="3"/>
  <c r="AZ364" i="3"/>
  <c r="AZ368" i="3"/>
  <c r="BA15" i="3"/>
  <c r="AZ15" i="3"/>
  <c r="BB5" i="3"/>
  <c r="BR5" i="3"/>
  <c r="G28" i="6"/>
  <c r="AZ384" i="3"/>
  <c r="AZ388" i="3"/>
  <c r="AZ392" i="3"/>
  <c r="AZ396" i="3"/>
  <c r="AZ394" i="3"/>
  <c r="AZ499"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K6" i="1"/>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W21" i="39"/>
  <c r="F21" i="39"/>
  <c r="H21" i="39"/>
  <c r="U21" i="39"/>
  <c r="W19" i="39"/>
  <c r="U19"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36" i="21"/>
  <c r="W41" i="21"/>
  <c r="AB39" i="21"/>
  <c r="S39" i="21"/>
  <c r="AA38" i="21"/>
  <c r="AA36" i="21"/>
  <c r="AC40" i="21"/>
  <c r="F23" i="21"/>
  <c r="S23" i="21"/>
  <c r="E85" i="21"/>
  <c r="AA14" i="21"/>
  <c r="AB8" i="21"/>
  <c r="S8" i="21"/>
  <c r="M3" i="43"/>
  <c r="N10" i="43"/>
  <c r="M1" i="43"/>
  <c r="M8" i="43"/>
  <c r="N8" i="43"/>
  <c r="N9" i="43"/>
  <c r="D120" i="9"/>
  <c r="C18" i="9"/>
  <c r="D18" i="9"/>
  <c r="F34" i="67"/>
  <c r="F62" i="67"/>
  <c r="M20" i="67"/>
  <c r="F34" i="15"/>
  <c r="F62" i="15"/>
  <c r="G13" i="3"/>
  <c r="G5" i="3"/>
  <c r="B3" i="3"/>
  <c r="C33" i="21"/>
  <c r="BA13" i="3"/>
  <c r="E10" i="6"/>
  <c r="BA5" i="3"/>
  <c r="E11" i="6"/>
  <c r="E61" i="39"/>
  <c r="BL17" i="3"/>
  <c r="AZ17" i="3"/>
  <c r="BL13" i="3"/>
  <c r="G30" i="6"/>
  <c r="G31" i="6"/>
  <c r="J56" i="9"/>
  <c r="J57" i="9"/>
  <c r="J59" i="9"/>
  <c r="J61" i="9"/>
  <c r="A24" i="51"/>
  <c r="B18" i="72"/>
  <c r="U29" i="34"/>
  <c r="E14" i="6"/>
  <c r="E64" i="39"/>
  <c r="E5" i="6"/>
  <c r="D9" i="11"/>
  <c r="C9" i="11"/>
  <c r="P10" i="1"/>
  <c r="E32" i="6"/>
  <c r="L19" i="6"/>
  <c r="G1" i="68"/>
  <c r="K1" i="12"/>
  <c r="E28" i="6"/>
  <c r="AR12" i="1"/>
  <c r="AQ12" i="1"/>
  <c r="T12" i="1"/>
  <c r="AR10" i="1"/>
  <c r="T10" i="1"/>
  <c r="E19" i="68"/>
  <c r="E1" i="73"/>
  <c r="G41" i="69"/>
  <c r="G22" i="69"/>
  <c r="G41" i="68"/>
  <c r="G22" i="68"/>
  <c r="G27" i="12"/>
  <c r="G26" i="12"/>
  <c r="G41" i="11"/>
  <c r="G22" i="11"/>
  <c r="G25" i="12"/>
  <c r="C100" i="43"/>
  <c r="E11" i="43"/>
  <c r="E10" i="43"/>
  <c r="E9" i="43"/>
  <c r="E8" i="43"/>
  <c r="C7" i="43"/>
  <c r="E81" i="43"/>
  <c r="B79" i="43"/>
  <c r="E48" i="43"/>
  <c r="B46" i="43"/>
  <c r="E70" i="43"/>
  <c r="B68" i="43"/>
  <c r="C20" i="43"/>
  <c r="C34"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48" i="35"/>
  <c r="D48" i="35"/>
  <c r="E48" i="35"/>
  <c r="F48" i="35"/>
  <c r="G48" i="35"/>
  <c r="C92" i="9"/>
  <c r="H62" i="43"/>
  <c r="H66" i="43"/>
  <c r="H61" i="43"/>
  <c r="H65" i="43"/>
  <c r="H60" i="43"/>
  <c r="H64" i="43"/>
  <c r="H59" i="43"/>
  <c r="H63" i="43"/>
  <c r="H67" i="43"/>
  <c r="H55" i="43"/>
  <c r="H51" i="43"/>
  <c r="H56" i="43"/>
  <c r="H76" i="43"/>
  <c r="H72" i="43"/>
  <c r="H77" i="43"/>
  <c r="L20" i="6"/>
  <c r="B6" i="1"/>
  <c r="E6" i="1"/>
  <c r="S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c r="J33" i="21"/>
  <c r="H33" i="21"/>
  <c r="AB33" i="21"/>
  <c r="F37" i="21"/>
  <c r="AA37" i="21"/>
  <c r="AA26" i="21"/>
  <c r="AB14" i="21"/>
  <c r="AB46" i="21"/>
  <c r="U40" i="21"/>
  <c r="AB31" i="21"/>
  <c r="U13" i="21"/>
  <c r="AB13" i="21"/>
  <c r="W8" i="21"/>
  <c r="AB37" i="21"/>
  <c r="J37" i="21"/>
  <c r="W37" i="21"/>
  <c r="J17" i="21"/>
  <c r="AC19" i="21"/>
  <c r="W39" i="21"/>
  <c r="AC14" i="21"/>
  <c r="W30" i="21"/>
  <c r="H45" i="21"/>
  <c r="U45" i="21"/>
  <c r="F29" i="21"/>
  <c r="S29" i="21"/>
  <c r="F13" i="21"/>
  <c r="AA13" i="21"/>
  <c r="AC38" i="21"/>
  <c r="H32" i="21"/>
  <c r="AB32" i="21"/>
  <c r="H9" i="21"/>
  <c r="AB9" i="21"/>
  <c r="J9" i="21"/>
  <c r="AC9" i="21"/>
  <c r="J32" i="21"/>
  <c r="F32" i="21"/>
  <c r="AA32" i="21"/>
  <c r="AA31" i="21"/>
  <c r="S19" i="21"/>
  <c r="S9" i="21"/>
  <c r="AA9" i="21"/>
  <c r="K141" i="21"/>
  <c r="K144" i="21"/>
  <c r="K143" i="21"/>
  <c r="U27" i="21"/>
  <c r="AB44" i="21"/>
  <c r="AA30" i="21"/>
  <c r="W13" i="21"/>
  <c r="AC45" i="21"/>
  <c r="K145" i="21"/>
  <c r="W25" i="21"/>
  <c r="W31" i="21"/>
  <c r="S27" i="21"/>
  <c r="S17"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AZ13" i="3"/>
  <c r="M6" i="1"/>
  <c r="O6" i="1"/>
  <c r="F30" i="68"/>
  <c r="C30" i="68"/>
  <c r="F30" i="11"/>
  <c r="C48" i="11"/>
  <c r="F28" i="67"/>
  <c r="C28" i="67"/>
  <c r="F31" i="12"/>
  <c r="F52" i="9"/>
  <c r="M18" i="67"/>
  <c r="F32" i="67"/>
  <c r="F60" i="67"/>
  <c r="F30" i="69"/>
  <c r="C48" i="69"/>
  <c r="F32" i="15"/>
  <c r="F60" i="15"/>
  <c r="M18" i="15"/>
  <c r="F28" i="15"/>
  <c r="T11" i="1"/>
  <c r="D9" i="69"/>
  <c r="C9" i="69"/>
  <c r="AQ9" i="1"/>
  <c r="AR11" i="1"/>
  <c r="D68" i="39"/>
  <c r="D70" i="39"/>
  <c r="C28" i="15"/>
  <c r="T9" i="1"/>
  <c r="T13" i="1"/>
  <c r="E125" i="3"/>
  <c r="E217" i="3"/>
  <c r="E366" i="3"/>
  <c r="E526" i="3"/>
  <c r="E553" i="3"/>
  <c r="E268" i="3"/>
  <c r="E282" i="3"/>
  <c r="E322" i="3"/>
  <c r="N6" i="3"/>
  <c r="AJ6" i="3"/>
  <c r="C77" i="9"/>
  <c r="C74" i="9"/>
  <c r="S7" i="1"/>
  <c r="AQ7" i="1"/>
  <c r="E7" i="70"/>
  <c r="C24" i="12"/>
  <c r="AA39" i="40"/>
  <c r="S39" i="40"/>
  <c r="S12" i="33"/>
  <c r="AA12" i="33"/>
  <c r="C16" i="43"/>
  <c r="D68" i="9"/>
  <c r="F54" i="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S13" i="21"/>
  <c r="D6" i="52"/>
  <c r="D121" i="9"/>
  <c r="D7" i="52"/>
  <c r="K120" i="9"/>
  <c r="A18" i="62"/>
  <c r="B64" i="72"/>
  <c r="E347" i="3"/>
  <c r="E539" i="3"/>
  <c r="E583" i="3"/>
  <c r="E545" i="3"/>
  <c r="AA6" i="3"/>
  <c r="E567" i="3"/>
  <c r="X6" i="3"/>
  <c r="E510" i="3"/>
  <c r="E399" i="3"/>
  <c r="E461" i="3"/>
  <c r="E336" i="3"/>
  <c r="E352" i="3"/>
  <c r="E280" i="3"/>
  <c r="E227" i="3"/>
  <c r="E246" i="3"/>
  <c r="E205" i="3"/>
  <c r="E124" i="3"/>
  <c r="E165" i="3"/>
  <c r="E293" i="3"/>
  <c r="E128" i="3"/>
  <c r="K14" i="1"/>
  <c r="M14" i="1"/>
  <c r="O14" i="1"/>
  <c r="P14" i="1"/>
  <c r="BL5" i="3"/>
  <c r="C19" i="4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C5" i="43"/>
  <c r="T16" i="43"/>
  <c r="V16" i="43"/>
  <c r="E52" i="37"/>
  <c r="F52" i="37"/>
  <c r="F46" i="36"/>
  <c r="G46" i="36"/>
  <c r="H46" i="36"/>
  <c r="E58" i="21"/>
  <c r="F58" i="21"/>
  <c r="G58" i="21"/>
  <c r="H58" i="21"/>
  <c r="I58" i="21"/>
  <c r="E59" i="34"/>
  <c r="F59" i="34"/>
  <c r="L27" i="6"/>
  <c r="AP7" i="1"/>
  <c r="C36" i="69"/>
  <c r="H16" i="1"/>
  <c r="AC33" i="21"/>
  <c r="W33" i="21"/>
  <c r="W32" i="21"/>
  <c r="AC32" i="21"/>
  <c r="U9" i="21"/>
  <c r="W9" i="21"/>
  <c r="C30" i="11"/>
  <c r="E6" i="70"/>
  <c r="E2" i="70"/>
  <c r="C36" i="43"/>
  <c r="E36"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T10" i="43"/>
  <c r="V10" i="43"/>
  <c r="F1" i="15"/>
  <c r="Q52" i="15"/>
  <c r="G39" i="43"/>
  <c r="I39" i="43"/>
  <c r="E68" i="39"/>
  <c r="F68" i="39"/>
  <c r="G68" i="39"/>
  <c r="F1" i="67"/>
  <c r="Q52" i="67"/>
  <c r="AC11" i="37"/>
  <c r="W11" i="37"/>
  <c r="W11" i="34"/>
  <c r="AC11" i="34"/>
  <c r="R7" i="1"/>
  <c r="C13" i="12"/>
  <c r="E70" i="39"/>
  <c r="R8" i="1"/>
  <c r="C34" i="69"/>
  <c r="C35" i="69"/>
  <c r="AE7" i="1"/>
  <c r="AE8" i="1"/>
  <c r="AG6" i="1"/>
  <c r="J7" i="33"/>
  <c r="W7" i="33"/>
  <c r="F7" i="33"/>
  <c r="S7" i="33"/>
  <c r="H7" i="33"/>
  <c r="AB7" i="33"/>
  <c r="T48" i="33"/>
  <c r="G48" i="33"/>
  <c r="AA7" i="33"/>
  <c r="R48" i="33"/>
  <c r="D59" i="9"/>
  <c r="M55" i="9"/>
  <c r="AD3" i="71"/>
  <c r="P21" i="43"/>
  <c r="P22" i="43"/>
  <c r="F31" i="15"/>
  <c r="F31" i="67"/>
  <c r="E8" i="76"/>
  <c r="E11" i="76"/>
  <c r="AO9" i="1"/>
  <c r="F26" i="67"/>
  <c r="J15" i="67"/>
  <c r="F43" i="67"/>
  <c r="M28" i="67"/>
  <c r="F6" i="67"/>
  <c r="M22" i="67"/>
  <c r="F42" i="67"/>
  <c r="D2" i="21"/>
  <c r="D2" i="33"/>
  <c r="E9" i="76"/>
  <c r="AO10" i="1"/>
  <c r="M26" i="67"/>
  <c r="F40" i="15"/>
  <c r="M9" i="15"/>
  <c r="M29" i="15"/>
  <c r="C76" i="15"/>
  <c r="F41" i="15"/>
  <c r="F38" i="67"/>
  <c r="F43" i="15"/>
  <c r="D2" i="34"/>
  <c r="E7" i="76"/>
  <c r="AO11" i="1"/>
  <c r="M22" i="15"/>
  <c r="F36" i="15"/>
  <c r="F9" i="15"/>
  <c r="F16" i="15"/>
  <c r="M21" i="15"/>
  <c r="F16" i="67"/>
  <c r="M29" i="67"/>
  <c r="E2" i="69"/>
  <c r="E10" i="76"/>
  <c r="E13" i="76"/>
  <c r="AO13" i="1"/>
  <c r="L47" i="15"/>
  <c r="J15" i="15"/>
  <c r="M24" i="15"/>
  <c r="D2" i="37"/>
  <c r="F13" i="15"/>
  <c r="D2" i="36"/>
  <c r="M26" i="15"/>
  <c r="AO7" i="1"/>
  <c r="M21" i="67"/>
  <c r="B10" i="76"/>
  <c r="B13" i="76"/>
  <c r="M24" i="67"/>
  <c r="L48" i="67"/>
  <c r="M23" i="15"/>
  <c r="F26" i="15"/>
  <c r="M23" i="67"/>
  <c r="M9" i="67"/>
  <c r="F36" i="67"/>
  <c r="M27" i="15"/>
  <c r="F41" i="67"/>
  <c r="B12" i="76"/>
  <c r="B11" i="76"/>
  <c r="C76" i="67"/>
  <c r="F37" i="15"/>
  <c r="F38" i="15"/>
  <c r="F40" i="67"/>
  <c r="F8" i="67"/>
  <c r="M8" i="67"/>
  <c r="E2" i="68"/>
  <c r="F7" i="67"/>
  <c r="M27" i="67"/>
  <c r="E12" i="76"/>
  <c r="B8" i="76"/>
  <c r="AO12" i="1"/>
  <c r="M28" i="15"/>
  <c r="F8" i="15"/>
  <c r="M8" i="15"/>
  <c r="F9" i="67"/>
  <c r="F42" i="15"/>
  <c r="L48" i="15"/>
  <c r="F35" i="15"/>
  <c r="D2" i="35"/>
  <c r="B9" i="76"/>
  <c r="B7" i="76"/>
  <c r="M6" i="15"/>
  <c r="F7" i="15"/>
  <c r="L47" i="67"/>
  <c r="M6" i="67"/>
  <c r="F6" i="15"/>
  <c r="AO8" i="1"/>
  <c r="F13" i="67"/>
  <c r="F37" i="67"/>
  <c r="F35" i="67"/>
  <c r="F20" i="31"/>
  <c r="AC11" i="39"/>
  <c r="C40" i="68"/>
  <c r="C40" i="69"/>
  <c r="A15" i="62"/>
  <c r="B61" i="72"/>
  <c r="B10" i="49"/>
  <c r="AB21" i="39"/>
  <c r="F91" i="39"/>
  <c r="G91" i="39"/>
  <c r="F17" i="39"/>
  <c r="F89" i="39"/>
  <c r="G89" i="39"/>
  <c r="H15" i="39"/>
  <c r="F15" i="39"/>
  <c r="J15" i="39"/>
  <c r="AC21" i="39"/>
  <c r="F105" i="39"/>
  <c r="G105" i="39"/>
  <c r="H105" i="39"/>
  <c r="I105" i="39"/>
  <c r="J105" i="39"/>
  <c r="K105" i="39"/>
  <c r="L105" i="39"/>
  <c r="M105" i="39"/>
  <c r="J31" i="39"/>
  <c r="F31" i="39"/>
  <c r="AA31" i="39"/>
  <c r="F107" i="39"/>
  <c r="J32" i="39"/>
  <c r="H32" i="39"/>
  <c r="S42" i="39"/>
  <c r="S40" i="39"/>
  <c r="H40" i="39"/>
  <c r="AB40" i="39"/>
  <c r="J40" i="39"/>
  <c r="AC40" i="39"/>
  <c r="AA41" i="39"/>
  <c r="AC38" i="39"/>
  <c r="S38" i="39"/>
  <c r="U12" i="39"/>
  <c r="W12" i="39"/>
  <c r="E5" i="49"/>
  <c r="AA12" i="39"/>
  <c r="U40" i="39"/>
  <c r="S11" i="39"/>
  <c r="U29" i="39"/>
  <c r="S23" i="39"/>
  <c r="Q16" i="1"/>
  <c r="F28" i="12"/>
  <c r="C29" i="12"/>
  <c r="D28" i="12"/>
  <c r="B9" i="49"/>
  <c r="F35" i="21"/>
  <c r="H35" i="21"/>
  <c r="AB35" i="21"/>
  <c r="J35" i="21"/>
  <c r="W35" i="21"/>
  <c r="H42" i="21"/>
  <c r="F42" i="21"/>
  <c r="G123" i="21"/>
  <c r="H123" i="21"/>
  <c r="I123" i="21"/>
  <c r="J123" i="21"/>
  <c r="K123" i="21"/>
  <c r="L123" i="21"/>
  <c r="M123" i="21"/>
  <c r="J42" i="21"/>
  <c r="S40" i="21"/>
  <c r="AC35" i="21"/>
  <c r="U35" i="21"/>
  <c r="B8" i="49"/>
  <c r="E8" i="49"/>
  <c r="E7" i="49"/>
  <c r="AA33" i="21"/>
  <c r="U33" i="21"/>
  <c r="AB45" i="21"/>
  <c r="W43" i="21"/>
  <c r="U43" i="21"/>
  <c r="AA43" i="21"/>
  <c r="U32" i="21"/>
  <c r="AC37" i="21"/>
  <c r="S32" i="21"/>
  <c r="W23" i="21"/>
  <c r="AA23" i="21"/>
  <c r="H19" i="21"/>
  <c r="F79" i="21"/>
  <c r="G79" i="21"/>
  <c r="H17" i="21"/>
  <c r="F77" i="21"/>
  <c r="G77" i="21"/>
  <c r="J15" i="21"/>
  <c r="W15" i="21"/>
  <c r="H15" i="21"/>
  <c r="U15" i="21"/>
  <c r="G66" i="21"/>
  <c r="H66" i="21"/>
  <c r="I66" i="21"/>
  <c r="J10" i="21"/>
  <c r="F10" i="21"/>
  <c r="S10" i="21"/>
  <c r="H10" i="21"/>
  <c r="AC29" i="21"/>
  <c r="W29" i="21"/>
  <c r="AB25" i="21"/>
  <c r="AC15" i="21"/>
  <c r="AC28" i="21"/>
  <c r="U23" i="21"/>
  <c r="S21" i="21"/>
  <c r="AA10" i="21"/>
  <c r="S37" i="21"/>
  <c r="AA15" i="21"/>
  <c r="AA29" i="21"/>
  <c r="S46" i="21"/>
  <c r="AA25" i="21"/>
  <c r="C30" i="69"/>
  <c r="C48" i="68"/>
  <c r="E11" i="49"/>
  <c r="B4" i="49"/>
  <c r="E10" i="49"/>
  <c r="E16" i="49"/>
  <c r="E6" i="49"/>
  <c r="B16" i="49"/>
  <c r="E19" i="11"/>
  <c r="E34" i="43"/>
  <c r="G34" i="43"/>
  <c r="I34" i="43"/>
  <c r="C39" i="43"/>
  <c r="E39" i="43"/>
  <c r="T12" i="43"/>
  <c r="V12" i="43"/>
  <c r="M7" i="1"/>
  <c r="O7" i="1"/>
  <c r="P7" i="1"/>
  <c r="F27" i="69"/>
  <c r="C29" i="69"/>
  <c r="D27" i="69"/>
  <c r="F27" i="11"/>
  <c r="AR7" i="1"/>
  <c r="E69" i="3"/>
  <c r="E53" i="3"/>
  <c r="E175" i="3"/>
  <c r="E319" i="3"/>
  <c r="E530" i="3"/>
  <c r="E501" i="3"/>
  <c r="E343" i="3"/>
  <c r="E153" i="3"/>
  <c r="E305" i="3"/>
  <c r="E426" i="3"/>
  <c r="E508" i="3"/>
  <c r="E328" i="3"/>
  <c r="E329"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H6" i="3"/>
  <c r="E6" i="3"/>
  <c r="AC6" i="3"/>
  <c r="F27" i="6"/>
  <c r="E51" i="40"/>
  <c r="E56" i="39"/>
  <c r="E388" i="3"/>
  <c r="E239" i="3"/>
  <c r="E302" i="3"/>
  <c r="E535" i="3"/>
  <c r="E503" i="3"/>
  <c r="E550" i="3"/>
  <c r="E17" i="3"/>
  <c r="E445" i="3"/>
  <c r="E361" i="3"/>
  <c r="E260" i="3"/>
  <c r="E213" i="3"/>
  <c r="E172" i="3"/>
  <c r="E183" i="3"/>
  <c r="E395" i="3"/>
  <c r="E565" i="3"/>
  <c r="E563" i="3"/>
  <c r="E528" i="3"/>
  <c r="E415" i="3"/>
  <c r="E304" i="3"/>
  <c r="E278" i="3"/>
  <c r="E261" i="3"/>
  <c r="E114" i="3"/>
  <c r="E237" i="3"/>
  <c r="E27" i="6"/>
  <c r="K26" i="6"/>
  <c r="M26" i="6"/>
  <c r="I26" i="6"/>
  <c r="S26" i="6"/>
  <c r="E12" i="6"/>
  <c r="E15" i="6"/>
  <c r="E60" i="40"/>
  <c r="E59" i="40"/>
  <c r="E65" i="39"/>
  <c r="E13" i="6"/>
  <c r="D19" i="12"/>
  <c r="C19" i="12"/>
  <c r="K22" i="6"/>
  <c r="M22" i="6"/>
  <c r="I22" i="6"/>
  <c r="S22" i="6"/>
  <c r="K19" i="6"/>
  <c r="S6" i="1"/>
  <c r="E57" i="40"/>
  <c r="E62" i="39"/>
  <c r="E56" i="40"/>
  <c r="O8" i="1"/>
  <c r="P8" i="1"/>
  <c r="T7" i="1"/>
  <c r="F22" i="43"/>
  <c r="F101" i="43"/>
  <c r="E22" i="43"/>
  <c r="H22" i="43"/>
  <c r="D101" i="43"/>
  <c r="I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B113" i="43"/>
  <c r="K101" i="43"/>
  <c r="N101" i="43"/>
  <c r="G101" i="43"/>
  <c r="C101" i="43"/>
  <c r="J101" i="43"/>
  <c r="N104" i="46"/>
  <c r="L101" i="43"/>
  <c r="H101" i="43"/>
  <c r="M101" i="43"/>
  <c r="E101" i="43"/>
  <c r="T15" i="43"/>
  <c r="V15" i="43"/>
  <c r="C74" i="77"/>
  <c r="C33" i="43"/>
  <c r="E33" i="43"/>
  <c r="G16" i="1"/>
  <c r="H10" i="40"/>
  <c r="E4" i="49"/>
  <c r="B6" i="49"/>
  <c r="E9" i="49"/>
  <c r="E21" i="49"/>
  <c r="B11" i="49"/>
  <c r="B13" i="49"/>
  <c r="E4" i="4"/>
  <c r="B5" i="62"/>
  <c r="B73" i="72"/>
  <c r="B5" i="49"/>
  <c r="E22" i="49"/>
  <c r="B14" i="49"/>
  <c r="B7" i="49"/>
  <c r="C4" i="4"/>
  <c r="B4" i="62"/>
  <c r="B71" i="72"/>
  <c r="B22" i="49"/>
  <c r="K56" i="9"/>
  <c r="C38" i="69"/>
  <c r="C65" i="40"/>
  <c r="D63" i="40"/>
  <c r="J10" i="40"/>
  <c r="W10" i="40"/>
  <c r="U7" i="33"/>
  <c r="F70" i="39"/>
  <c r="G36" i="43"/>
  <c r="I36" i="43"/>
  <c r="C37" i="43"/>
  <c r="T13" i="43"/>
  <c r="V13" i="43"/>
  <c r="T8" i="43"/>
  <c r="V8" i="43"/>
  <c r="T9" i="43"/>
  <c r="V9" i="43"/>
  <c r="T14" i="43"/>
  <c r="V14" i="43"/>
  <c r="T11" i="43"/>
  <c r="V11" i="43"/>
  <c r="C38" i="43"/>
  <c r="C35" i="43"/>
  <c r="B20" i="31"/>
  <c r="B7" i="70"/>
  <c r="F69" i="67"/>
  <c r="F69" i="15"/>
  <c r="B8" i="70"/>
  <c r="F63" i="15"/>
  <c r="C62" i="15"/>
  <c r="C34" i="15"/>
  <c r="J20" i="67"/>
  <c r="F70" i="67"/>
  <c r="F71" i="15"/>
  <c r="F64" i="67"/>
  <c r="F65" i="67"/>
  <c r="L56" i="15"/>
  <c r="I54" i="15"/>
  <c r="J57" i="15"/>
  <c r="J55" i="15"/>
  <c r="J58" i="15"/>
  <c r="Q50" i="15"/>
  <c r="Q71" i="15"/>
  <c r="M7" i="67"/>
  <c r="J6" i="67"/>
  <c r="F50" i="67"/>
  <c r="F51" i="67"/>
  <c r="C6" i="67"/>
  <c r="J20" i="15"/>
  <c r="F63" i="67"/>
  <c r="C62" i="67"/>
  <c r="C34" i="67"/>
  <c r="F68" i="67"/>
  <c r="F66" i="67"/>
  <c r="C27" i="15"/>
  <c r="L58" i="67"/>
  <c r="L59" i="67"/>
  <c r="N59" i="67"/>
  <c r="M59" i="67"/>
  <c r="F71" i="67"/>
  <c r="F66" i="15"/>
  <c r="M7" i="15"/>
  <c r="J6" i="15"/>
  <c r="F50" i="15"/>
  <c r="F51" i="15"/>
  <c r="F68" i="15"/>
  <c r="M59" i="15"/>
  <c r="N59" i="15"/>
  <c r="L59" i="15"/>
  <c r="L58" i="15"/>
  <c r="F64" i="15"/>
  <c r="F65" i="15"/>
  <c r="J57" i="67"/>
  <c r="J55" i="67"/>
  <c r="J58" i="67"/>
  <c r="Q50" i="67"/>
  <c r="I54" i="67"/>
  <c r="L56" i="67"/>
  <c r="C6" i="15"/>
  <c r="C27" i="67"/>
  <c r="Q71" i="67"/>
  <c r="B12" i="70"/>
  <c r="B13" i="70"/>
  <c r="B9" i="70"/>
  <c r="B10" i="70"/>
  <c r="B11" i="70"/>
  <c r="E48" i="33"/>
  <c r="R49" i="33"/>
  <c r="G52" i="33"/>
  <c r="H52" i="33"/>
  <c r="C47" i="69"/>
  <c r="D45" i="69"/>
  <c r="F7" i="34"/>
  <c r="G59" i="34"/>
  <c r="H59" i="34"/>
  <c r="I59" i="34"/>
  <c r="J59" i="34"/>
  <c r="K59" i="34"/>
  <c r="L59" i="34"/>
  <c r="M59" i="34"/>
  <c r="N59" i="34"/>
  <c r="O59" i="34"/>
  <c r="J7" i="34"/>
  <c r="H7" i="34"/>
  <c r="P6" i="1"/>
  <c r="P25" i="43"/>
  <c r="P24" i="43"/>
  <c r="B66" i="40"/>
  <c r="P23" i="43"/>
  <c r="B71" i="39"/>
  <c r="AC7" i="33"/>
  <c r="V48" i="33"/>
  <c r="I48" i="33"/>
  <c r="G70" i="39"/>
  <c r="H68" i="39"/>
  <c r="J58" i="21"/>
  <c r="K58" i="21"/>
  <c r="L58" i="21"/>
  <c r="M58" i="21"/>
  <c r="N58" i="21"/>
  <c r="O58" i="21"/>
  <c r="H48" i="35"/>
  <c r="I48" i="35"/>
  <c r="J48" i="35"/>
  <c r="K48" i="35"/>
  <c r="L48" i="35"/>
  <c r="M48" i="35"/>
  <c r="N48" i="35"/>
  <c r="O48" i="35"/>
  <c r="I46" i="36"/>
  <c r="J46" i="36"/>
  <c r="K46" i="36"/>
  <c r="L46" i="36"/>
  <c r="M46" i="36"/>
  <c r="N46" i="36"/>
  <c r="O46" i="36"/>
  <c r="G52" i="37"/>
  <c r="H52" i="37"/>
  <c r="I52" i="37"/>
  <c r="J52" i="37"/>
  <c r="K52" i="37"/>
  <c r="L52" i="37"/>
  <c r="M52" i="37"/>
  <c r="N52" i="37"/>
  <c r="O52" i="37"/>
  <c r="AC17" i="21"/>
  <c r="W17" i="21"/>
  <c r="O12" i="1"/>
  <c r="P12" i="1"/>
  <c r="F30" i="6"/>
  <c r="F31" i="6"/>
  <c r="E29" i="6"/>
  <c r="AZ557" i="3"/>
  <c r="O11" i="1"/>
  <c r="D9" i="53"/>
  <c r="B25" i="72"/>
  <c r="B24" i="72"/>
  <c r="J9" i="34"/>
  <c r="H9" i="34"/>
  <c r="J34" i="35"/>
  <c r="H34" i="35"/>
  <c r="F34" i="35"/>
  <c r="AZ439" i="3"/>
  <c r="H36" i="35"/>
  <c r="J36" i="35"/>
  <c r="AZ398" i="3"/>
  <c r="AZ405" i="3"/>
  <c r="AZ407" i="3"/>
  <c r="AZ410" i="3"/>
  <c r="AZ415" i="3"/>
  <c r="AZ420" i="3"/>
  <c r="AZ426" i="3"/>
  <c r="AZ431" i="3"/>
  <c r="AZ448" i="3"/>
  <c r="AC31" i="35"/>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2" i="3"/>
  <c r="AZ65" i="3"/>
  <c r="AZ78" i="3"/>
  <c r="AZ87" i="3"/>
  <c r="AZ91" i="3"/>
  <c r="AZ98" i="3"/>
  <c r="AZ104" i="3"/>
  <c r="AZ108" i="3"/>
  <c r="C25" i="71"/>
  <c r="D24" i="71"/>
  <c r="M100" i="43"/>
  <c r="I100" i="43"/>
  <c r="E100" i="43"/>
  <c r="D100" i="43"/>
  <c r="D23" i="67"/>
  <c r="Y6" i="71"/>
  <c r="Z6" i="71"/>
  <c r="AB6" i="71"/>
  <c r="V50" i="71"/>
  <c r="F49" i="71"/>
  <c r="AA5" i="71"/>
  <c r="X6" i="71"/>
  <c r="AB5" i="71"/>
  <c r="X5" i="71"/>
  <c r="J1" i="73"/>
  <c r="AA6" i="71"/>
  <c r="Y5" i="71"/>
  <c r="Z5" i="71"/>
  <c r="D9" i="68"/>
  <c r="F59" i="67"/>
  <c r="M17" i="15"/>
  <c r="M17" i="67"/>
  <c r="F59" i="15"/>
  <c r="F6" i="73"/>
  <c r="C14" i="67"/>
  <c r="F5" i="73"/>
  <c r="C17" i="67"/>
  <c r="F4" i="73"/>
  <c r="F3" i="73"/>
  <c r="C16" i="67"/>
  <c r="C14" i="15"/>
  <c r="F7" i="73"/>
  <c r="C17" i="15"/>
  <c r="C16" i="15"/>
  <c r="C9" i="68"/>
  <c r="AA17" i="39"/>
  <c r="S17" i="39"/>
  <c r="W15" i="39"/>
  <c r="AC15" i="39"/>
  <c r="U15" i="39"/>
  <c r="AB15" i="39"/>
  <c r="AA15" i="39"/>
  <c r="S15" i="39"/>
  <c r="S31" i="39"/>
  <c r="AC31" i="39"/>
  <c r="W31" i="39"/>
  <c r="AC32" i="39"/>
  <c r="W32" i="39"/>
  <c r="U32" i="39"/>
  <c r="AB32" i="39"/>
  <c r="G107" i="39"/>
  <c r="H107" i="39"/>
  <c r="I107" i="39"/>
  <c r="J107" i="39"/>
  <c r="K107" i="39"/>
  <c r="L107" i="39"/>
  <c r="M107" i="39"/>
  <c r="F32" i="39"/>
  <c r="W40" i="39"/>
  <c r="AA35" i="21"/>
  <c r="S35" i="21"/>
  <c r="AC42" i="21"/>
  <c r="W42" i="21"/>
  <c r="AA42" i="21"/>
  <c r="S42" i="21"/>
  <c r="U42" i="21"/>
  <c r="AB42" i="21"/>
  <c r="AB19" i="21"/>
  <c r="U19" i="21"/>
  <c r="AB17" i="21"/>
  <c r="U17" i="21"/>
  <c r="AB15" i="21"/>
  <c r="AB10" i="21"/>
  <c r="U10" i="21"/>
  <c r="AC10" i="21"/>
  <c r="W10" i="21"/>
  <c r="M16" i="1"/>
  <c r="AQ6" i="1"/>
  <c r="S16" i="1"/>
  <c r="AC10" i="40"/>
  <c r="H10" i="39"/>
  <c r="U10" i="39"/>
  <c r="F10" i="39"/>
  <c r="S10" i="39"/>
  <c r="K24" i="6"/>
  <c r="M24" i="6"/>
  <c r="I24" i="6"/>
  <c r="S24" i="6"/>
  <c r="K20" i="6"/>
  <c r="M20" i="6"/>
  <c r="I20" i="6"/>
  <c r="S20" i="6"/>
  <c r="T6" i="1"/>
  <c r="T16" i="1"/>
  <c r="AR6" i="1"/>
  <c r="C47" i="11"/>
  <c r="D45" i="11"/>
  <c r="C29" i="11"/>
  <c r="D27" i="11"/>
  <c r="K25" i="6"/>
  <c r="M25" i="6"/>
  <c r="I25" i="6"/>
  <c r="S25" i="6"/>
  <c r="K21" i="6"/>
  <c r="M21" i="6"/>
  <c r="I21" i="6"/>
  <c r="S21" i="6"/>
  <c r="K23" i="6"/>
  <c r="M23" i="6"/>
  <c r="I23" i="6"/>
  <c r="S23" i="6"/>
  <c r="E16" i="6"/>
  <c r="C15" i="15"/>
  <c r="C18" i="15"/>
  <c r="E58" i="40"/>
  <c r="E63" i="39"/>
  <c r="E66" i="39"/>
  <c r="K27" i="6"/>
  <c r="M19" i="6"/>
  <c r="O16" i="1"/>
  <c r="N16" i="1"/>
  <c r="M109" i="43"/>
  <c r="M104" i="43"/>
  <c r="M107" i="43"/>
  <c r="M105" i="43"/>
  <c r="M102" i="43"/>
  <c r="M106" i="43"/>
  <c r="M103" i="43"/>
  <c r="L109" i="43"/>
  <c r="L106" i="43"/>
  <c r="L107" i="43"/>
  <c r="L103" i="43"/>
  <c r="L102" i="43"/>
  <c r="L105" i="43"/>
  <c r="L104" i="43"/>
  <c r="J104" i="43"/>
  <c r="J107" i="43"/>
  <c r="J102" i="43"/>
  <c r="J106" i="43"/>
  <c r="J105" i="43"/>
  <c r="J103" i="43"/>
  <c r="J109" i="43"/>
  <c r="G105" i="43"/>
  <c r="G102" i="43"/>
  <c r="G107" i="43"/>
  <c r="G104" i="43"/>
  <c r="G109" i="43"/>
  <c r="G103" i="43"/>
  <c r="G106" i="43"/>
  <c r="K103" i="43"/>
  <c r="K102" i="43"/>
  <c r="K106" i="43"/>
  <c r="K107" i="43"/>
  <c r="K104" i="43"/>
  <c r="K105" i="43"/>
  <c r="K109" i="43"/>
  <c r="I109" i="43"/>
  <c r="I104" i="43"/>
  <c r="I107" i="43"/>
  <c r="I105" i="43"/>
  <c r="I102" i="43"/>
  <c r="I106" i="43"/>
  <c r="I103" i="43"/>
  <c r="F104" i="43"/>
  <c r="F102" i="43"/>
  <c r="F103" i="43"/>
  <c r="F107" i="43"/>
  <c r="F106" i="43"/>
  <c r="F105" i="43"/>
  <c r="F109" i="43"/>
  <c r="E104" i="43"/>
  <c r="E107" i="43"/>
  <c r="E105" i="43"/>
  <c r="E102" i="43"/>
  <c r="E106" i="43"/>
  <c r="E103" i="43"/>
  <c r="E109" i="43"/>
  <c r="H107" i="43"/>
  <c r="H106" i="43"/>
  <c r="H105" i="43"/>
  <c r="H109" i="43"/>
  <c r="H102" i="43"/>
  <c r="H103" i="43"/>
  <c r="H104" i="43"/>
  <c r="C104" i="43"/>
  <c r="C106" i="43"/>
  <c r="C107" i="43"/>
  <c r="C103" i="43"/>
  <c r="C102" i="43"/>
  <c r="C109" i="43"/>
  <c r="C105" i="43"/>
  <c r="N102" i="43"/>
  <c r="N105" i="43"/>
  <c r="N107" i="43"/>
  <c r="N103" i="43"/>
  <c r="N106" i="43"/>
  <c r="N104" i="43"/>
  <c r="N109" i="43"/>
  <c r="B115" i="43"/>
  <c r="I115" i="43"/>
  <c r="J115" i="43"/>
  <c r="K115" i="43"/>
  <c r="L115" i="43"/>
  <c r="M115" i="43"/>
  <c r="D116" i="43"/>
  <c r="E116" i="43"/>
  <c r="F116" i="43"/>
  <c r="G116" i="43"/>
  <c r="H116" i="43"/>
  <c r="D118" i="43"/>
  <c r="E118" i="43"/>
  <c r="F118" i="43"/>
  <c r="B117" i="43"/>
  <c r="C117" i="43"/>
  <c r="I116" i="43"/>
  <c r="J116" i="43"/>
  <c r="K116" i="43"/>
  <c r="L116" i="43"/>
  <c r="M116" i="43"/>
  <c r="D115" i="43"/>
  <c r="E115" i="43"/>
  <c r="F115" i="43"/>
  <c r="G115" i="43"/>
  <c r="H115" i="43"/>
  <c r="D117" i="43"/>
  <c r="E117" i="43"/>
  <c r="F117" i="43"/>
  <c r="G117" i="43"/>
  <c r="H117" i="43"/>
  <c r="I118" i="43"/>
  <c r="J118" i="43"/>
  <c r="K118" i="43"/>
  <c r="L118" i="43"/>
  <c r="M118" i="43"/>
  <c r="G118" i="43"/>
  <c r="H118" i="43"/>
  <c r="B116" i="43"/>
  <c r="C116" i="43"/>
  <c r="B118" i="43"/>
  <c r="C118" i="43"/>
  <c r="I117" i="43"/>
  <c r="J117" i="43"/>
  <c r="K117" i="43"/>
  <c r="L117" i="43"/>
  <c r="M117" i="43"/>
  <c r="D109" i="43"/>
  <c r="D105" i="43"/>
  <c r="D106" i="43"/>
  <c r="D102" i="43"/>
  <c r="D103" i="43"/>
  <c r="D104" i="43"/>
  <c r="D107" i="43"/>
  <c r="D22" i="43"/>
  <c r="G33" i="43"/>
  <c r="I33" i="43"/>
  <c r="AB10" i="40"/>
  <c r="U10" i="40"/>
  <c r="F10" i="40"/>
  <c r="S10" i="40"/>
  <c r="J10" i="39"/>
  <c r="W10" i="39"/>
  <c r="K4" i="4"/>
  <c r="B46" i="48"/>
  <c r="B4" i="72"/>
  <c r="C49" i="15"/>
  <c r="G35" i="43"/>
  <c r="I35" i="43"/>
  <c r="E35" i="43"/>
  <c r="G37" i="43"/>
  <c r="I37" i="43"/>
  <c r="E37" i="43"/>
  <c r="AA10" i="39"/>
  <c r="D65" i="40"/>
  <c r="E63" i="40"/>
  <c r="G38" i="43"/>
  <c r="I38" i="43"/>
  <c r="E38" i="43"/>
  <c r="I1" i="73"/>
  <c r="B39" i="1"/>
  <c r="C15" i="67"/>
  <c r="C18" i="67"/>
  <c r="F48" i="71"/>
  <c r="Q49" i="71"/>
  <c r="AB36" i="35"/>
  <c r="U36" i="35"/>
  <c r="S34" i="35"/>
  <c r="AA34" i="35"/>
  <c r="AC34" i="35"/>
  <c r="W34" i="35"/>
  <c r="W9" i="34"/>
  <c r="AC9" i="34"/>
  <c r="P11" i="1"/>
  <c r="P16" i="1"/>
  <c r="C11" i="12"/>
  <c r="F7" i="37"/>
  <c r="J7" i="37"/>
  <c r="J7" i="36"/>
  <c r="H7" i="36"/>
  <c r="J7" i="35"/>
  <c r="F7" i="35"/>
  <c r="F7" i="21"/>
  <c r="H7" i="21"/>
  <c r="I68" i="39"/>
  <c r="H70" i="39"/>
  <c r="I52" i="33"/>
  <c r="J52" i="33"/>
  <c r="I53" i="33"/>
  <c r="J53" i="33"/>
  <c r="U7" i="34"/>
  <c r="AB7" i="34"/>
  <c r="T49" i="34"/>
  <c r="G49" i="34"/>
  <c r="G53" i="33"/>
  <c r="H53" i="33"/>
  <c r="E53" i="33"/>
  <c r="F53" i="33"/>
  <c r="E52" i="33"/>
  <c r="F52" i="33"/>
  <c r="Q73" i="15"/>
  <c r="Q60" i="15"/>
  <c r="Q73" i="67"/>
  <c r="Q60" i="67"/>
  <c r="C49" i="67"/>
  <c r="C26" i="71"/>
  <c r="D25" i="71"/>
  <c r="AZ5" i="3"/>
  <c r="AC36" i="35"/>
  <c r="W36" i="35"/>
  <c r="AB34" i="35"/>
  <c r="U34" i="35"/>
  <c r="AB9" i="34"/>
  <c r="U9" i="34"/>
  <c r="E30" i="6"/>
  <c r="E31" i="6"/>
  <c r="K15" i="1"/>
  <c r="K16" i="1"/>
  <c r="B29" i="1"/>
  <c r="C8" i="68"/>
  <c r="H7" i="37"/>
  <c r="F7" i="36"/>
  <c r="H7" i="35"/>
  <c r="J7" i="21"/>
  <c r="AC7" i="34"/>
  <c r="V49" i="34"/>
  <c r="I49" i="34"/>
  <c r="W7" i="34"/>
  <c r="S7" i="34"/>
  <c r="AA7" i="34"/>
  <c r="R49" i="34"/>
  <c r="C49" i="33"/>
  <c r="C48" i="33"/>
  <c r="Q74" i="15"/>
  <c r="Q61" i="15"/>
  <c r="Q61" i="67"/>
  <c r="Q74" i="67"/>
  <c r="F27" i="68"/>
  <c r="D5" i="73"/>
  <c r="D7" i="73"/>
  <c r="D3" i="73"/>
  <c r="D6" i="73"/>
  <c r="D4" i="73"/>
  <c r="C29" i="68"/>
  <c r="D27" i="68"/>
  <c r="S32" i="39"/>
  <c r="AA32" i="39"/>
  <c r="C47" i="68"/>
  <c r="D45" i="68"/>
  <c r="F11" i="12"/>
  <c r="F34" i="11"/>
  <c r="C36" i="11"/>
  <c r="C19" i="15"/>
  <c r="C20" i="15"/>
  <c r="C26" i="15"/>
  <c r="L16" i="1"/>
  <c r="AC10" i="39"/>
  <c r="AB10" i="39"/>
  <c r="AA10" i="40"/>
  <c r="C34" i="11"/>
  <c r="C35" i="11"/>
  <c r="M27" i="6"/>
  <c r="I19" i="6"/>
  <c r="F50" i="69"/>
  <c r="F50" i="11"/>
  <c r="F50" i="68"/>
  <c r="C115" i="43"/>
  <c r="D113" i="43"/>
  <c r="C23" i="43"/>
  <c r="C21" i="43"/>
  <c r="S7" i="43"/>
  <c r="T7" i="43"/>
  <c r="V7" i="43"/>
  <c r="S5" i="43"/>
  <c r="T5" i="43"/>
  <c r="V5" i="43"/>
  <c r="S4" i="43"/>
  <c r="T4" i="43"/>
  <c r="V4" i="43"/>
  <c r="S2" i="43"/>
  <c r="T2" i="43"/>
  <c r="V2" i="43"/>
  <c r="S6" i="43"/>
  <c r="T6" i="43"/>
  <c r="V6" i="43"/>
  <c r="S3" i="43"/>
  <c r="T3" i="43"/>
  <c r="V3" i="43"/>
  <c r="C19" i="67"/>
  <c r="C20" i="67"/>
  <c r="C26" i="67"/>
  <c r="F63" i="40"/>
  <c r="E65" i="40"/>
  <c r="E20" i="43"/>
  <c r="K1" i="73"/>
  <c r="R50" i="34"/>
  <c r="E49" i="34"/>
  <c r="I54" i="34"/>
  <c r="J54" i="34"/>
  <c r="W7" i="21"/>
  <c r="AC7" i="21"/>
  <c r="S7" i="36"/>
  <c r="AA7" i="36"/>
  <c r="R36" i="36"/>
  <c r="E3" i="6"/>
  <c r="AY6" i="3"/>
  <c r="D26" i="71"/>
  <c r="T26" i="71"/>
  <c r="G53" i="34"/>
  <c r="H53" i="34"/>
  <c r="G54" i="34"/>
  <c r="H54" i="34"/>
  <c r="C15" i="12"/>
  <c r="C12" i="12"/>
  <c r="I70" i="39"/>
  <c r="J68" i="39"/>
  <c r="S7" i="21"/>
  <c r="AA7" i="21"/>
  <c r="AC7" i="35"/>
  <c r="V38" i="35"/>
  <c r="I38" i="35"/>
  <c r="W7" i="35"/>
  <c r="W7" i="36"/>
  <c r="AC7" i="36"/>
  <c r="V36" i="36"/>
  <c r="I36" i="36"/>
  <c r="S7" i="37"/>
  <c r="AA7" i="37"/>
  <c r="R42" i="37"/>
  <c r="Q48" i="71"/>
  <c r="Q47" i="71"/>
  <c r="I53" i="34"/>
  <c r="J53" i="34"/>
  <c r="AB7" i="35"/>
  <c r="T38" i="35"/>
  <c r="G38" i="35"/>
  <c r="U7" i="35"/>
  <c r="AB7" i="37"/>
  <c r="T42" i="37"/>
  <c r="G42" i="37"/>
  <c r="U7" i="37"/>
  <c r="U7" i="21"/>
  <c r="AB7" i="21"/>
  <c r="AA7" i="35"/>
  <c r="R38" i="35"/>
  <c r="S7" i="35"/>
  <c r="U7" i="36"/>
  <c r="AB7" i="36"/>
  <c r="T36" i="36"/>
  <c r="G36" i="36"/>
  <c r="AC7" i="37"/>
  <c r="V42" i="37"/>
  <c r="I42" i="37"/>
  <c r="W7" i="37"/>
  <c r="M11" i="15"/>
  <c r="J10" i="15"/>
  <c r="J5" i="15"/>
  <c r="M11" i="67"/>
  <c r="J10" i="67"/>
  <c r="J5" i="67"/>
  <c r="F11" i="15"/>
  <c r="F11" i="67"/>
  <c r="F34" i="68"/>
  <c r="G1" i="73"/>
  <c r="C38" i="11"/>
  <c r="I27" i="6"/>
  <c r="S19" i="6"/>
  <c r="S27" i="6"/>
  <c r="C29" i="43"/>
  <c r="F65" i="40"/>
  <c r="G63" i="40"/>
  <c r="B40" i="1"/>
  <c r="C10" i="15"/>
  <c r="C5" i="15"/>
  <c r="C53" i="15"/>
  <c r="C48" i="15"/>
  <c r="E38" i="35"/>
  <c r="R39" i="35"/>
  <c r="G46" i="37"/>
  <c r="H46" i="37"/>
  <c r="G47" i="37"/>
  <c r="H47" i="37"/>
  <c r="G42" i="35"/>
  <c r="H42" i="35"/>
  <c r="G43" i="35"/>
  <c r="H43" i="35"/>
  <c r="I42" i="35"/>
  <c r="J42" i="35"/>
  <c r="I43" i="35"/>
  <c r="J43"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R37" i="36"/>
  <c r="E36" i="36"/>
  <c r="I41" i="36"/>
  <c r="J41" i="36"/>
  <c r="E54" i="34"/>
  <c r="F54" i="34"/>
  <c r="E53" i="34"/>
  <c r="F53" i="34"/>
  <c r="J18" i="15"/>
  <c r="J24" i="15"/>
  <c r="J26" i="15"/>
  <c r="J29" i="15"/>
  <c r="I46" i="37"/>
  <c r="J46" i="37"/>
  <c r="C10" i="67"/>
  <c r="C5" i="67"/>
  <c r="C53" i="67"/>
  <c r="C48" i="67"/>
  <c r="J18" i="67"/>
  <c r="J24" i="67"/>
  <c r="J26" i="67"/>
  <c r="J29" i="67"/>
  <c r="G40" i="36"/>
  <c r="H40" i="36"/>
  <c r="G41" i="36"/>
  <c r="H41" i="36"/>
  <c r="E42" i="37"/>
  <c r="I47" i="37"/>
  <c r="J47" i="37"/>
  <c r="R43" i="37"/>
  <c r="I40" i="36"/>
  <c r="J40" i="36"/>
  <c r="K68" i="39"/>
  <c r="J70" i="39"/>
  <c r="D3" i="34"/>
  <c r="D3" i="33"/>
  <c r="B2" i="33"/>
  <c r="B3" i="33"/>
  <c r="E6" i="6"/>
  <c r="C17" i="4"/>
  <c r="B4" i="52"/>
  <c r="B43" i="72"/>
  <c r="L18" i="9"/>
  <c r="D3" i="37"/>
  <c r="D3" i="21"/>
  <c r="D19" i="11"/>
  <c r="C19" i="11"/>
  <c r="D37" i="11"/>
  <c r="C37" i="11"/>
  <c r="C33" i="11"/>
  <c r="D14" i="12"/>
  <c r="M18" i="9"/>
  <c r="B118" i="9"/>
  <c r="B14" i="74"/>
  <c r="B1" i="74"/>
  <c r="C50" i="34"/>
  <c r="B2" i="34"/>
  <c r="B3" i="34"/>
  <c r="C49" i="34"/>
  <c r="P17" i="43"/>
  <c r="N17" i="43"/>
  <c r="M17" i="43"/>
  <c r="O17" i="43"/>
  <c r="C36" i="68"/>
  <c r="C34" i="68"/>
  <c r="C38" i="68"/>
  <c r="C35" i="68"/>
  <c r="C30" i="43"/>
  <c r="E30" i="43"/>
  <c r="C27" i="43"/>
  <c r="E29" i="43"/>
  <c r="C26" i="43"/>
  <c r="H63" i="40"/>
  <c r="G65" i="40"/>
  <c r="C39" i="11"/>
  <c r="C46" i="11"/>
  <c r="C45" i="11"/>
  <c r="C60" i="67"/>
  <c r="C66" i="67"/>
  <c r="D17" i="12"/>
  <c r="C17" i="12"/>
  <c r="C14" i="12"/>
  <c r="C16" i="12"/>
  <c r="C20" i="11"/>
  <c r="C42" i="37"/>
  <c r="C43" i="37"/>
  <c r="B2" i="37"/>
  <c r="B3" i="37"/>
  <c r="C38" i="67"/>
  <c r="C32" i="67"/>
  <c r="C37" i="36"/>
  <c r="B2" i="36"/>
  <c r="B3" i="36"/>
  <c r="C36" i="36"/>
  <c r="E43" i="35"/>
  <c r="F43" i="35"/>
  <c r="E42" i="35"/>
  <c r="F42" i="35"/>
  <c r="C38" i="15"/>
  <c r="C32" i="15"/>
  <c r="D10" i="69"/>
  <c r="D10" i="11"/>
  <c r="C10" i="11"/>
  <c r="D20" i="12"/>
  <c r="C20" i="12"/>
  <c r="C18" i="12"/>
  <c r="L68" i="39"/>
  <c r="K70" i="39"/>
  <c r="E47" i="37"/>
  <c r="F47" i="37"/>
  <c r="E46" i="37"/>
  <c r="F46" i="37"/>
  <c r="E40" i="36"/>
  <c r="F40" i="36"/>
  <c r="E41" i="36"/>
  <c r="F41" i="36"/>
  <c r="M19" i="9"/>
  <c r="C118" i="9"/>
  <c r="C14" i="74"/>
  <c r="B2" i="74"/>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H19" i="6"/>
  <c r="H107" i="9"/>
  <c r="C38" i="35"/>
  <c r="C39" i="35"/>
  <c r="B2" i="35"/>
  <c r="B3" i="35"/>
  <c r="C66" i="15"/>
  <c r="C60" i="15"/>
  <c r="F24" i="15"/>
  <c r="F22" i="11"/>
  <c r="F22" i="69"/>
  <c r="F25" i="12"/>
  <c r="C26" i="12"/>
  <c r="D25" i="12"/>
  <c r="F24" i="67"/>
  <c r="F22" i="68"/>
  <c r="D10" i="68"/>
  <c r="E6" i="76"/>
  <c r="H27" i="6"/>
  <c r="R20" i="6"/>
  <c r="D16" i="6"/>
  <c r="D30" i="6"/>
  <c r="E2" i="76"/>
  <c r="B2" i="43"/>
  <c r="H65" i="40"/>
  <c r="I63" i="40"/>
  <c r="C26" i="68"/>
  <c r="D22" i="68"/>
  <c r="C44" i="68"/>
  <c r="D41" i="68"/>
  <c r="C26" i="11"/>
  <c r="D22" i="11"/>
  <c r="C44" i="11"/>
  <c r="D41" i="11"/>
  <c r="C23" i="11"/>
  <c r="D122" i="9"/>
  <c r="D13" i="53"/>
  <c r="H108" i="9"/>
  <c r="D15" i="53"/>
  <c r="B31" i="72"/>
  <c r="R23" i="6"/>
  <c r="A7" i="51"/>
  <c r="B7" i="72"/>
  <c r="C4" i="52"/>
  <c r="B45" i="72"/>
  <c r="A10" i="51"/>
  <c r="B9" i="72"/>
  <c r="D27" i="6"/>
  <c r="D31" i="6"/>
  <c r="R19" i="6"/>
  <c r="C10" i="69"/>
  <c r="C8" i="69"/>
  <c r="C5" i="69"/>
  <c r="D19" i="69"/>
  <c r="C25" i="11"/>
  <c r="C28" i="11"/>
  <c r="C27" i="11"/>
  <c r="C21" i="12"/>
  <c r="C42" i="11"/>
  <c r="R21" i="6"/>
  <c r="C24" i="67"/>
  <c r="C23" i="67"/>
  <c r="C26" i="69"/>
  <c r="D22" i="69"/>
  <c r="C44" i="69"/>
  <c r="D41" i="69"/>
  <c r="C24" i="15"/>
  <c r="C23" i="15"/>
  <c r="R24" i="6"/>
  <c r="R22" i="6"/>
  <c r="R25" i="6"/>
  <c r="R26" i="6"/>
  <c r="M68" i="39"/>
  <c r="L70" i="39"/>
  <c r="C10" i="68"/>
  <c r="D19" i="68"/>
  <c r="C24" i="11"/>
  <c r="C43" i="11"/>
  <c r="B6" i="76"/>
  <c r="R27" i="6"/>
  <c r="R6" i="1"/>
  <c r="R16" i="1"/>
  <c r="B2" i="76"/>
  <c r="B3" i="76"/>
  <c r="B3" i="43"/>
  <c r="I65" i="40"/>
  <c r="J63" i="40"/>
  <c r="C29" i="15"/>
  <c r="C33" i="15"/>
  <c r="C31" i="15"/>
  <c r="C29" i="67"/>
  <c r="J14" i="67"/>
  <c r="C19" i="68"/>
  <c r="D37" i="68"/>
  <c r="C37" i="68"/>
  <c r="C33" i="68"/>
  <c r="C23" i="69"/>
  <c r="I6" i="6"/>
  <c r="C11" i="21"/>
  <c r="I5" i="6"/>
  <c r="G14" i="74"/>
  <c r="B6" i="74"/>
  <c r="D123" i="9"/>
  <c r="D9" i="52"/>
  <c r="D8" i="52"/>
  <c r="C22" i="11"/>
  <c r="C31" i="11"/>
  <c r="N68" i="39"/>
  <c r="M70" i="39"/>
  <c r="C41" i="11"/>
  <c r="C49" i="11"/>
  <c r="C51" i="11"/>
  <c r="C22" i="12"/>
  <c r="C19" i="69"/>
  <c r="C24" i="69"/>
  <c r="D37" i="69"/>
  <c r="C37" i="69"/>
  <c r="C33" i="69"/>
  <c r="D14" i="53"/>
  <c r="B32" i="72"/>
  <c r="B30" i="72"/>
  <c r="C57" i="15"/>
  <c r="C61" i="15"/>
  <c r="C59" i="15"/>
  <c r="F11" i="21"/>
  <c r="J11" i="21"/>
  <c r="H11" i="21"/>
  <c r="Q49" i="67"/>
  <c r="C36" i="67"/>
  <c r="C57" i="67"/>
  <c r="C64" i="67"/>
  <c r="C13" i="67"/>
  <c r="Q70" i="67"/>
  <c r="J59" i="67"/>
  <c r="J60" i="67"/>
  <c r="L46" i="67"/>
  <c r="C33" i="67"/>
  <c r="C31" i="67"/>
  <c r="J19" i="67"/>
  <c r="J17" i="67"/>
  <c r="J19" i="15"/>
  <c r="J17" i="15"/>
  <c r="J14" i="15"/>
  <c r="J22" i="15"/>
  <c r="C13" i="15"/>
  <c r="C56" i="15"/>
  <c r="C65" i="15"/>
  <c r="K63" i="40"/>
  <c r="J65" i="40"/>
  <c r="J59" i="15"/>
  <c r="J60" i="15"/>
  <c r="L46" i="15"/>
  <c r="Q49" i="15"/>
  <c r="C36" i="15"/>
  <c r="C42" i="69"/>
  <c r="C39" i="69"/>
  <c r="C43" i="69"/>
  <c r="C52" i="11"/>
  <c r="B2" i="11"/>
  <c r="B3" i="11"/>
  <c r="D6" i="74"/>
  <c r="C6" i="74"/>
  <c r="C64" i="15"/>
  <c r="C39" i="68"/>
  <c r="C43" i="68"/>
  <c r="C42" i="68"/>
  <c r="O68" i="39"/>
  <c r="O70" i="39"/>
  <c r="N70" i="39"/>
  <c r="C20" i="69"/>
  <c r="C25" i="69"/>
  <c r="C22" i="69"/>
  <c r="J13" i="67"/>
  <c r="J23" i="67"/>
  <c r="J22" i="67"/>
  <c r="C24" i="68"/>
  <c r="Q48" i="67"/>
  <c r="C56" i="67"/>
  <c r="C65" i="67"/>
  <c r="U11" i="21"/>
  <c r="AB11" i="21"/>
  <c r="T48" i="21"/>
  <c r="G48" i="21"/>
  <c r="S11" i="21"/>
  <c r="AA11" i="21"/>
  <c r="R48" i="21"/>
  <c r="W11" i="21"/>
  <c r="AC11" i="21"/>
  <c r="V48" i="21"/>
  <c r="I48" i="21"/>
  <c r="C75" i="67"/>
  <c r="C61" i="67"/>
  <c r="C59" i="67"/>
  <c r="C58" i="67"/>
  <c r="C67" i="67"/>
  <c r="C68" i="67"/>
  <c r="C71" i="67"/>
  <c r="Q48" i="15"/>
  <c r="Q70" i="15"/>
  <c r="C75" i="15"/>
  <c r="C37" i="67"/>
  <c r="C30" i="67"/>
  <c r="C39" i="67"/>
  <c r="Q69" i="67"/>
  <c r="Q68" i="67"/>
  <c r="J13" i="15"/>
  <c r="J23" i="15"/>
  <c r="J16" i="15"/>
  <c r="J25" i="15"/>
  <c r="C46" i="68"/>
  <c r="C45" i="68"/>
  <c r="C37" i="15"/>
  <c r="C30" i="15"/>
  <c r="C39" i="15"/>
  <c r="C40" i="15"/>
  <c r="C58" i="15"/>
  <c r="C67" i="15"/>
  <c r="C68" i="15"/>
  <c r="C71" i="15"/>
  <c r="K65" i="40"/>
  <c r="L63" i="40"/>
  <c r="J16" i="67"/>
  <c r="J25" i="67"/>
  <c r="C28" i="69"/>
  <c r="C27" i="69"/>
  <c r="C31" i="69"/>
  <c r="J7" i="39"/>
  <c r="F7" i="39"/>
  <c r="H7" i="39"/>
  <c r="C41" i="68"/>
  <c r="C41" i="69"/>
  <c r="C56" i="11"/>
  <c r="C57" i="11"/>
  <c r="C46" i="69"/>
  <c r="C45" i="69"/>
  <c r="L51" i="15"/>
  <c r="C40" i="67"/>
  <c r="C45" i="67"/>
  <c r="C46" i="67"/>
  <c r="I52" i="21"/>
  <c r="J52" i="21"/>
  <c r="R49" i="21"/>
  <c r="E48" i="21"/>
  <c r="G53" i="21"/>
  <c r="H53" i="21"/>
  <c r="G52" i="21"/>
  <c r="H52" i="21"/>
  <c r="C49" i="68"/>
  <c r="C51" i="68"/>
  <c r="C80" i="67"/>
  <c r="C79" i="67"/>
  <c r="C80" i="15"/>
  <c r="C79" i="15"/>
  <c r="Q69" i="15"/>
  <c r="Q68" i="15"/>
  <c r="C46" i="15"/>
  <c r="M63" i="40"/>
  <c r="L65" i="40"/>
  <c r="C49" i="69"/>
  <c r="C51" i="69"/>
  <c r="C52" i="69"/>
  <c r="B2" i="69"/>
  <c r="B3" i="69"/>
  <c r="Q67" i="15"/>
  <c r="L57" i="15"/>
  <c r="L60" i="15"/>
  <c r="AB7" i="39"/>
  <c r="T47" i="39"/>
  <c r="G47" i="39"/>
  <c r="U7" i="39"/>
  <c r="AC7" i="39"/>
  <c r="V47" i="39"/>
  <c r="I47" i="39"/>
  <c r="W7" i="39"/>
  <c r="S7" i="39"/>
  <c r="AA7" i="39"/>
  <c r="R47" i="39"/>
  <c r="C43" i="15"/>
  <c r="Q65" i="15"/>
  <c r="Q47" i="15"/>
  <c r="Q53" i="15"/>
  <c r="Q56" i="15"/>
  <c r="B2" i="15"/>
  <c r="B3" i="15"/>
  <c r="C83" i="15"/>
  <c r="C82" i="15"/>
  <c r="L51" i="67"/>
  <c r="L57" i="67"/>
  <c r="L60" i="67"/>
  <c r="Q57" i="67"/>
  <c r="Q67" i="67"/>
  <c r="Q56" i="67"/>
  <c r="C83" i="67"/>
  <c r="C82" i="67"/>
  <c r="D2" i="67"/>
  <c r="B2" i="67"/>
  <c r="C43" i="67"/>
  <c r="Q47" i="67"/>
  <c r="Q53" i="67"/>
  <c r="Q65" i="67"/>
  <c r="E53" i="21"/>
  <c r="F53" i="21"/>
  <c r="E52" i="21"/>
  <c r="I53" i="21"/>
  <c r="J53" i="21"/>
  <c r="C48" i="21"/>
  <c r="C49" i="21"/>
  <c r="B2" i="21"/>
  <c r="M65" i="40"/>
  <c r="N63" i="40"/>
  <c r="E47" i="39"/>
  <c r="I52" i="39"/>
  <c r="J52" i="39"/>
  <c r="R48" i="39"/>
  <c r="C57" i="69"/>
  <c r="C56" i="69"/>
  <c r="I51" i="39"/>
  <c r="J51" i="39"/>
  <c r="G52" i="39"/>
  <c r="H52" i="39"/>
  <c r="G51" i="39"/>
  <c r="H51" i="39"/>
  <c r="Q66" i="15"/>
  <c r="Q75" i="15"/>
  <c r="Q57" i="15"/>
  <c r="Q62" i="15"/>
  <c r="AO6" i="1"/>
  <c r="AE6" i="1"/>
  <c r="Q66" i="67"/>
  <c r="Q75" i="67"/>
  <c r="Q62" i="67"/>
  <c r="B3" i="67"/>
  <c r="B6" i="70"/>
  <c r="B2" i="70"/>
  <c r="B3" i="70"/>
  <c r="F52" i="21"/>
  <c r="B3" i="21"/>
  <c r="C6" i="12"/>
  <c r="C8" i="12"/>
  <c r="C4" i="12"/>
  <c r="N65" i="40"/>
  <c r="H7" i="40"/>
  <c r="O63" i="40"/>
  <c r="O65" i="40"/>
  <c r="F7" i="40"/>
  <c r="J7" i="40"/>
  <c r="C47" i="39"/>
  <c r="C48" i="39"/>
  <c r="E51" i="39"/>
  <c r="F51" i="39"/>
  <c r="E52" i="39"/>
  <c r="F52" i="39"/>
  <c r="C31" i="12"/>
  <c r="C23" i="12"/>
  <c r="W7" i="40"/>
  <c r="AC7" i="40"/>
  <c r="V42" i="40"/>
  <c r="I42" i="40"/>
  <c r="AA7" i="40"/>
  <c r="R42" i="40"/>
  <c r="S7" i="40"/>
  <c r="AB7" i="40"/>
  <c r="T42" i="40"/>
  <c r="G42" i="40"/>
  <c r="U7" i="40"/>
  <c r="B61" i="39"/>
  <c r="F61" i="39"/>
  <c r="B56" i="39"/>
  <c r="F56" i="39"/>
  <c r="B59" i="39"/>
  <c r="F59" i="39"/>
  <c r="B65" i="39"/>
  <c r="F65" i="39"/>
  <c r="B57" i="39"/>
  <c r="F57" i="39"/>
  <c r="B62" i="39"/>
  <c r="F62" i="39"/>
  <c r="B60" i="39"/>
  <c r="F60" i="39"/>
  <c r="B58" i="39"/>
  <c r="F58" i="39"/>
  <c r="B64" i="39"/>
  <c r="F64" i="39"/>
  <c r="B63" i="39"/>
  <c r="F63" i="39"/>
  <c r="F66" i="39"/>
  <c r="B2" i="39"/>
  <c r="C27" i="12"/>
  <c r="C25" i="12"/>
  <c r="C30" i="12"/>
  <c r="C28" i="12"/>
  <c r="I46" i="40"/>
  <c r="J46" i="40"/>
  <c r="G46" i="40"/>
  <c r="H46" i="40"/>
  <c r="G47" i="40"/>
  <c r="H47" i="40"/>
  <c r="E42" i="40"/>
  <c r="R43" i="40"/>
  <c r="B3" i="39"/>
  <c r="C6" i="68"/>
  <c r="C32" i="12"/>
  <c r="B2" i="12"/>
  <c r="E46" i="40"/>
  <c r="F46" i="40"/>
  <c r="E47" i="40"/>
  <c r="F47" i="40"/>
  <c r="I47" i="40"/>
  <c r="J47" i="40"/>
  <c r="C42" i="40"/>
  <c r="C43" i="40"/>
  <c r="D19" i="9"/>
  <c r="C7" i="68"/>
  <c r="C5" i="68"/>
  <c r="D102" i="9"/>
  <c r="D21" i="9"/>
  <c r="B3" i="12"/>
  <c r="B57" i="40"/>
  <c r="F57" i="40"/>
  <c r="B59" i="40"/>
  <c r="F59" i="40"/>
  <c r="B56" i="40"/>
  <c r="F56" i="40"/>
  <c r="B53" i="40"/>
  <c r="F53" i="40"/>
  <c r="F61" i="40"/>
  <c r="B2" i="40"/>
  <c r="B3" i="40"/>
  <c r="B54" i="40"/>
  <c r="F54" i="40"/>
  <c r="B58" i="40"/>
  <c r="F58" i="40"/>
  <c r="B52" i="40"/>
  <c r="F52" i="40"/>
  <c r="B55" i="40"/>
  <c r="F55" i="40"/>
  <c r="B60" i="40"/>
  <c r="F60" i="40"/>
  <c r="B51" i="40"/>
  <c r="F51" i="40"/>
  <c r="D20" i="9"/>
  <c r="C23" i="68"/>
  <c r="C20" i="68"/>
  <c r="C25" i="68"/>
  <c r="D103" i="9"/>
  <c r="C28" i="68"/>
  <c r="C27" i="68"/>
  <c r="C22" i="68"/>
  <c r="C31" i="68"/>
  <c r="C52" i="68"/>
  <c r="B2" i="68"/>
  <c r="B3" i="68"/>
  <c r="C20" i="9"/>
  <c r="C19" i="9"/>
  <c r="G20" i="9"/>
  <c r="C103" i="9"/>
  <c r="C21" i="9"/>
  <c r="G19" i="9"/>
  <c r="C32" i="9"/>
  <c r="C102" i="9"/>
  <c r="D22" i="9"/>
  <c r="C57" i="68"/>
  <c r="D35" i="9"/>
  <c r="G21" i="9"/>
  <c r="C56" i="68"/>
  <c r="C35" i="9"/>
  <c r="F118" i="9"/>
  <c r="H118" i="9"/>
  <c r="D34" i="9"/>
  <c r="C34" i="9"/>
  <c r="D118" i="9"/>
  <c r="D119" i="9"/>
  <c r="D5" i="52"/>
  <c r="B49" i="72"/>
  <c r="C104" i="9"/>
  <c r="H119" i="9"/>
  <c r="H5" i="52"/>
  <c r="H101" i="9"/>
  <c r="H4" i="52"/>
  <c r="D14" i="74"/>
  <c r="I118" i="9"/>
  <c r="F119" i="9"/>
  <c r="F5" i="52"/>
  <c r="B53" i="72"/>
  <c r="G118" i="9"/>
  <c r="G4" i="52"/>
  <c r="B52" i="72"/>
  <c r="F4" i="52"/>
  <c r="B51" i="72"/>
  <c r="D4" i="52"/>
  <c r="B47" i="72"/>
  <c r="H102" i="9"/>
  <c r="D7" i="53"/>
  <c r="B21" i="72"/>
  <c r="C105" i="9"/>
  <c r="E118" i="9"/>
  <c r="E4" i="52"/>
  <c r="B48" i="72"/>
  <c r="I4" i="52"/>
  <c r="B5" i="74"/>
  <c r="F14" i="74"/>
  <c r="E14" i="74"/>
  <c r="D45" i="9"/>
  <c r="D5" i="53"/>
  <c r="H109" i="9"/>
  <c r="M48" i="9"/>
  <c r="D6" i="53"/>
  <c r="B22" i="72"/>
  <c r="B20" i="72"/>
  <c r="D124" i="9"/>
  <c r="M49" i="9"/>
  <c r="D16" i="53"/>
  <c r="H110" i="9"/>
  <c r="D18" i="53"/>
  <c r="B35" i="72"/>
  <c r="C72" i="9"/>
  <c r="D52" i="9"/>
  <c r="C93" i="9"/>
  <c r="C86" i="9"/>
  <c r="C85" i="9"/>
  <c r="D53" i="9"/>
  <c r="D48" i="9"/>
  <c r="M52" i="9"/>
  <c r="C78" i="9"/>
  <c r="C73" i="9"/>
  <c r="C64" i="9"/>
  <c r="C63" i="9"/>
  <c r="C67" i="9"/>
  <c r="C68" i="9"/>
  <c r="D54" i="9"/>
  <c r="D55" i="9"/>
  <c r="M53" i="9"/>
  <c r="D5" i="74"/>
  <c r="C5" i="74"/>
  <c r="C79" i="9"/>
  <c r="C80" i="9"/>
  <c r="E80" i="9"/>
  <c r="E81" i="9"/>
  <c r="B34" i="72"/>
  <c r="D17" i="53"/>
  <c r="B36" i="72"/>
  <c r="D125" i="9"/>
  <c r="D11" i="52"/>
  <c r="D10" i="52"/>
  <c r="H14" i="74"/>
  <c r="B7" i="74"/>
  <c r="C81" i="9"/>
  <c r="C95" i="9"/>
  <c r="L68" i="9"/>
  <c r="M68" i="9"/>
  <c r="L65" i="9"/>
  <c r="M65" i="9"/>
  <c r="L66" i="9"/>
  <c r="M66" i="9"/>
  <c r="L64" i="9"/>
  <c r="M64" i="9"/>
  <c r="L63" i="9"/>
  <c r="M63" i="9"/>
  <c r="L67" i="9"/>
  <c r="M67" i="9"/>
  <c r="M69" i="9"/>
  <c r="N69" i="9"/>
  <c r="C96" i="9"/>
  <c r="E96" i="9"/>
  <c r="E97" i="9"/>
  <c r="D7" i="74"/>
  <c r="C7" i="74"/>
  <c r="C97" i="9"/>
  <c r="D58" i="9"/>
  <c r="D56" i="9"/>
  <c r="M54" i="9"/>
  <c r="N57" i="9"/>
  <c r="N59" i="9"/>
  <c r="P57" i="9"/>
  <c r="N58" i="9"/>
  <c r="N60" i="9"/>
  <c r="N61" i="9"/>
  <c r="H112" i="9"/>
  <c r="D21" i="53"/>
  <c r="B39" i="72"/>
  <c r="H111" i="9"/>
  <c r="D19" i="53"/>
  <c r="D126" i="9"/>
  <c r="I14" i="74"/>
  <c r="B8" i="74"/>
  <c r="D12" i="52"/>
  <c r="D127" i="9"/>
  <c r="D13" i="52"/>
  <c r="B38" i="72"/>
  <c r="D20" i="53"/>
  <c r="B40" i="72"/>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<sst xmlns="http://schemas.openxmlformats.org/spreadsheetml/2006/main" count="9845" uniqueCount="3397">
  <si>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</si>
  <si>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</si>
  <si>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</si>
  <si>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</si>
  <si>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</si>
  <si>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</si>
  <si>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</si>
  <si>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</si>
  <si>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</si>
  <si>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</si>
  <si>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</si>
  <si>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</si>
  <si>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</si>
  <si>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</si>
  <si>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</si>
  <si>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</si>
  <si>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</si>
  <si>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</si>
  <si>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</si>
  <si>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</si>
  <si>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</si>
  <si>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</si>
  <si>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</si>
  <si>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</si>
  <si>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</si>
  <si>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</si>
  <si>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</si>
  <si>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</si>
  <si>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</si>
  <si>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</si>
  <si>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</si>
  <si>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</si>
  <si>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</si>
  <si>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</si>
  <si>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</si>
  <si>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</si>
  <si>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</si>
  <si>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</si>
  <si>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</si>
  <si>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</si>
  <si>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</si>
  <si>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</si>
  <si>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</si>
  <si>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</si>
  <si>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</si>
  <si>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</si>
  <si>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</si>
  <si>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</si>
  <si>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</si>
  <si>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</si>
  <si>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</si>
  <si>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</si>
  <si>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</si>
  <si>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</si>
  <si>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</si>
  <si>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</si>
  <si>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</si>
  <si>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</si>
  <si>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</si>
  <si>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</si>
  <si>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</si>
  <si>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</si>
  <si>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</si>
  <si>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</si>
  <si>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</si>
  <si>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</si>
  <si>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</si>
  <si>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</si>
  <si>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</si>
  <si>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</si>
  <si>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</si>
  <si>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</si>
  <si>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</si>
  <si>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</si>
  <si>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</si>
  <si>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</si>
  <si>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</si>
  <si>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</si>
  <si>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</si>
  <si>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</si>
  <si>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</si>
  <si>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</si>
  <si>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</si>
  <si>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</si>
  <si>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</si>
  <si>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</si>
  <si>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</si>
  <si>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</si>
  <si>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</si>
  <si>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</si>
  <si>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</si>
  <si>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</si>
  <si>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</si>
  <si>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</si>
  <si>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</si>
  <si>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</si>
  <si>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</si>
  <si>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</si>
  <si>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</si>
  <si>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</si>
  <si>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</si>
  <si>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</si>
  <si>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</si>
  <si>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</si>
  <si>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</si>
  <si>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</si>
  <si>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</si>
  <si>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</si>
  <si>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</si>
  <si>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</si>
  <si>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</si>
  <si>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</si>
  <si>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</si>
  <si>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</si>
  <si>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</si>
  <si>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</si>
  <si>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</si>
  <si>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</si>
  <si>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</si>
  <si>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</si>
  <si>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</si>
  <si>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</si>
  <si>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</si>
  <si>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</si>
  <si>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</si>
  <si>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</si>
  <si>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</si>
  <si>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</si>
  <si>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</si>
  <si>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</si>
  <si>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</si>
  <si>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</si>
  <si>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</si>
  <si>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</si>
  <si>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</si>
  <si>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</si>
  <si>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</si>
  <si>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</si>
  <si>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</si>
  <si>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</si>
  <si>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</si>
  <si>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</si>
  <si>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</si>
  <si>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</si>
  <si>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</si>
  <si>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</si>
  <si>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</si>
  <si>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</si>
  <si>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</si>
  <si>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</si>
  <si>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</si>
  <si>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</si>
  <si>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</si>
  <si>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</si>
  <si>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</si>
  <si>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</si>
  <si>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</si>
  <si>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</si>
  <si>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</si>
  <si>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</si>
  <si>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</si>
  <si>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</si>
  <si>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</si>
  <si>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</si>
  <si>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</si>
  <si>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</si>
  <si>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</si>
  <si>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</si>
  <si>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</si>
  <si>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</si>
  <si>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</si>
  <si>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</si>
  <si>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</si>
  <si>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</si>
  <si>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</si>
  <si>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</si>
  <si>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</si>
  <si>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</si>
  <si>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</si>
  <si>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</si>
  <si>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</si>
  <si>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</si>
  <si>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</si>
  <si>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</si>
  <si>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</si>
  <si>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</si>
  <si>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</si>
  <si>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</si>
  <si>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</si>
  <si>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</si>
  <si>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</si>
  <si>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</si>
  <si>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</si>
  <si>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</si>
  <si>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</si>
  <si>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</si>
  <si>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</si>
  <si>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</si>
  <si>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</si>
  <si>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</si>
  <si>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</si>
  <si>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</si>
  <si>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</si>
  <si>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</si>
  <si>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</si>
  <si>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</si>
  <si>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</si>
  <si>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</si>
  <si>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</si>
  <si>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</si>
  <si>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</si>
  <si>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</si>
  <si>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</si>
  <si>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</si>
  <si>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</si>
  <si>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</si>
  <si>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</si>
  <si>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</si>
  <si>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</si>
  <si>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</si>
  <si>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</si>
  <si>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</si>
  <si>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</si>
  <si>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</si>
  <si>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</si>
  <si>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</si>
  <si>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</si>
  <si>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</si>
  <si>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</si>
  <si>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</si>
  <si>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</si>
  <si>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</si>
  <si>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</si>
  <si>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</si>
  <si>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</si>
  <si>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</si>
  <si>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</si>
  <si>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</si>
  <si>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</si>
  <si>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</si>
  <si>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</si>
  <si>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</si>
  <si>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</si>
  <si>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</si>
  <si>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</si>
  <si>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</si>
  <si>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</si>
  <si>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</si>
  <si>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</si>
  <si>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</si>
  <si>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</si>
  <si>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</si>
  <si>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</si>
  <si>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</si>
  <si>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</si>
  <si>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</si>
  <si>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</si>
  <si>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</si>
  <si>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</si>
  <si>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</si>
  <si>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</si>
  <si>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</si>
  <si>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</si>
  <si>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</si>
  <si>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</si>
  <si>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</si>
  <si>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</si>
  <si>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</si>
  <si>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</si>
  <si>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</si>
  <si>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</si>
  <si>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</si>
  <si>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</si>
  <si>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</si>
  <si>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</si>
  <si>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</si>
  <si>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</si>
  <si>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</si>
  <si>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</si>
  <si>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</si>
  <si>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</si>
  <si>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</si>
  <si>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</si>
  <si>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</si>
  <si>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</si>
  <si>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</si>
  <si>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</si>
  <si>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</si>
  <si>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</si>
  <si>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</si>
  <si>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</si>
  <si>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</si>
  <si>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</si>
  <si>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</si>
  <si>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</si>
  <si>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</si>
  <si>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</si>
  <si>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</si>
  <si>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</si>
  <si>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</si>
  <si>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</si>
  <si>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</si>
  <si>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</si>
  <si>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</si>
  <si>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</si>
  <si>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</si>
  <si>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</si>
  <si>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</si>
  <si>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</si>
  <si>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</si>
  <si>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</si>
  <si>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</si>
  <si>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</si>
  <si>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</si>
  <si>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</si>
  <si>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</si>
  <si>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</si>
  <si>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</si>
  <si>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</si>
  <si>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</si>
  <si>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</si>
  <si>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</si>
  <si>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</si>
  <si>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</si>
  <si>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</si>
  <si>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</si>
  <si>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</si>
  <si>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</si>
  <si>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</si>
  <si>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</si>
  <si>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</si>
  <si>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</si>
  <si>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</si>
  <si>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</si>
  <si>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</si>
  <si>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</si>
  <si>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</si>
  <si>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</si>
  <si>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</si>
  <si>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</si>
  <si>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</si>
  <si>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</si>
  <si>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</si>
  <si>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</si>
  <si>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</si>
  <si>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</si>
  <si>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</si>
  <si>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</si>
  <si>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</si>
  <si>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</si>
  <si>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</si>
  <si>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</si>
  <si>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</si>
  <si>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</si>
  <si>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</si>
  <si>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</si>
  <si>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</si>
  <si>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</si>
  <si>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</si>
  <si>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</si>
  <si>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</si>
  <si>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</si>
  <si>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</si>
  <si>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</si>
  <si>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</si>
  <si>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</si>
  <si>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</si>
  <si>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</si>
  <si>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</si>
  <si>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</si>
  <si>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</si>
  <si>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</si>
  <si>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</si>
  <si>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</si>
  <si>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</si>
  <si>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</si>
  <si>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</si>
  <si>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</si>
  <si>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</si>
  <si>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</si>
  <si>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</si>
  <si>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</si>
  <si>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</si>
  <si>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</si>
  <si>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</si>
  <si>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</si>
  <si>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</si>
  <si>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</si>
  <si>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</si>
  <si>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</si>
  <si>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</si>
  <si>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</si>
  <si>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</si>
  <si>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</si>
  <si>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</si>
  <si>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</si>
  <si>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</si>
  <si>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</si>
  <si>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</si>
  <si>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</si>
  <si>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</si>
  <si>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</si>
  <si>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</si>
  <si>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</si>
  <si>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</si>
  <si>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</si>
  <si>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</si>
  <si>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</si>
  <si>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</si>
  <si>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</si>
  <si>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</si>
  <si>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</si>
  <si>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</si>
  <si>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</si>
  <si>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</si>
  <si>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</si>
  <si>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</si>
  <si>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</si>
  <si>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</si>
  <si>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</si>
  <si>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</si>
  <si>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</si>
  <si>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</si>
  <si>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</si>
  <si>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</si>
  <si>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</si>
  <si>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</si>
  <si>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</si>
  <si>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</si>
  <si>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</si>
  <si>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</si>
  <si>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</si>
  <si>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</si>
  <si>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</si>
  <si>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</si>
  <si>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</si>
  <si>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</si>
  <si>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</si>
  <si>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</si>
  <si>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</si>
  <si>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</si>
  <si>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</si>
  <si>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</si>
  <si>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</si>
  <si>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</si>
  <si>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</si>
  <si>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</si>
  <si>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</si>
  <si>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</si>
  <si>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</si>
  <si>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</si>
  <si>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</si>
  <si>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</si>
  <si>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</si>
  <si>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</si>
  <si>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</si>
  <si>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</si>
  <si>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</si>
  <si>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</si>
  <si>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</si>
  <si>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</si>
  <si>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</si>
  <si>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</si>
  <si>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</si>
  <si>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</si>
  <si>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</si>
  <si>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</si>
  <si>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</si>
  <si>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</si>
  <si>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</si>
  <si>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</si>
  <si>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</si>
  <si>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</si>
  <si>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</si>
  <si>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</si>
  <si>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</si>
  <si>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</si>
  <si>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</si>
  <si>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</si>
  <si>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</si>
  <si>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</si>
  <si>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</si>
  <si>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</si>
  <si>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</si>
  <si>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</si>
  <si>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</si>
  <si>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</si>
  <si>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</si>
  <si>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</si>
  <si>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</si>
  <si>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</si>
  <si>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</si>
  <si>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</si>
  <si>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</si>
  <si>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</si>
  <si>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</si>
  <si>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</si>
  <si>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</si>
  <si>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</si>
  <si>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</si>
  <si>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</si>
  <si>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</si>
  <si>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</si>
  <si>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</si>
  <si>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</si>
  <si>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</si>
  <si>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</si>
  <si>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</si>
  <si>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</si>
  <si>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</si>
  <si>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</si>
  <si>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</si>
  <si>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</si>
  <si>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</si>
  <si>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</si>
  <si>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</si>
  <si>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</si>
  <si>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</si>
  <si>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</si>
  <si>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</si>
  <si>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</si>
  <si>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</si>
  <si>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</si>
  <si>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</si>
  <si>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</si>
  <si>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</si>
  <si>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</si>
  <si>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</si>
  <si>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</si>
  <si>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</si>
  <si>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</si>
  <si>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</si>
  <si>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</si>
  <si>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</si>
  <si>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</si>
  <si>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</si>
  <si>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</si>
  <si>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</si>
  <si>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</si>
  <si>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</si>
  <si>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</si>
  <si>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</si>
  <si>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</si>
  <si>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</si>
  <si>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</si>
  <si>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</si>
  <si>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</si>
  <si>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</si>
  <si>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</si>
  <si>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</si>
  <si>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</si>
  <si>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</si>
  <si>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</si>
  <si>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</si>
  <si>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</si>
  <si>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</si>
  <si>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</si>
  <si>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</si>
  <si>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</si>
  <si>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</si>
  <si>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</si>
  <si>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</si>
  <si>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</si>
  <si>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</si>
  <si>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</si>
  <si>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</si>
  <si>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</si>
  <si>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</si>
  <si>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</si>
  <si>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</si>
  <si>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</si>
  <si>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</si>
  <si>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</si>
  <si>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</si>
  <si>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</si>
  <si>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</si>
  <si>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</si>
  <si>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</si>
  <si>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</si>
  <si>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</si>
  <si>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</si>
  <si>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</si>
  <si>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</si>
  <si>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</si>
  <si>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</si>
  <si>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</si>
  <si>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</si>
  <si>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</si>
  <si>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</si>
  <si>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</si>
  <si>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</si>
  <si>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</si>
  <si>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</si>
  <si>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</si>
  <si>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</si>
  <si>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</si>
  <si>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</si>
  <si>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</si>
  <si>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</si>
  <si>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</si>
  <si>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</si>
  <si>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</si>
  <si>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</si>
  <si>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</si>
  <si>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</si>
  <si>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</si>
  <si>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</si>
  <si>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</si>
  <si>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</si>
  <si>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</si>
  <si>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</si>
  <si>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</si>
  <si>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</si>
  <si>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</si>
  <si>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</si>
  <si>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</si>
  <si>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</si>
  <si>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</si>
  <si>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</si>
  <si>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</si>
  <si>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</si>
  <si>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</si>
  <si>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</si>
  <si>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</si>
  <si>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</si>
  <si>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</si>
  <si>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</si>
  <si>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</si>
  <si>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</si>
  <si>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</si>
  <si>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</si>
  <si>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</si>
  <si>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</si>
  <si>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</si>
  <si>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</si>
  <si>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</si>
  <si>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</si>
  <si>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</si>
  <si>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</si>
  <si>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</si>
  <si>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</si>
  <si>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</si>
  <si>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</si>
  <si>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</si>
  <si>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</si>
  <si>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</si>
  <si>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</si>
  <si>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</si>
  <si>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</si>
  <si>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</si>
  <si>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</si>
  <si>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</si>
  <si>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</si>
  <si>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</si>
  <si>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</si>
  <si>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</si>
  <si>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</si>
  <si>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</si>
  <si>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</si>
  <si>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</si>
  <si>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</si>
  <si>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</si>
  <si>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</si>
  <si>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</si>
  <si>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</si>
  <si>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</si>
  <si>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</si>
  <si>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</si>
  <si>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</si>
  <si>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</si>
  <si>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</si>
  <si>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</si>
  <si>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</si>
  <si>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</si>
  <si>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</si>
  <si>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</si>
  <si>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</si>
  <si>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</si>
  <si>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</si>
  <si>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</si>
  <si>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</si>
  <si>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</si>
  <si>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</si>
  <si>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</si>
  <si>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</si>
  <si>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</si>
  <si>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</si>
  <si>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</si>
  <si>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</si>
  <si>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</si>
  <si>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</si>
  <si>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</si>
  <si>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</si>
  <si>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</si>
  <si>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</si>
  <si>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</si>
  <si>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</si>
  <si>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</si>
  <si>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</si>
  <si>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</si>
  <si>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</si>
  <si>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</si>
  <si>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</si>
  <si>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</si>
  <si>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</si>
  <si>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</si>
  <si>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</si>
  <si>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</si>
  <si>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</si>
  <si>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</si>
  <si>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</si>
  <si>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</si>
  <si>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</si>
  <si>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</si>
  <si>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</si>
  <si>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</si>
  <si>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</si>
  <si>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</si>
  <si>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</si>
  <si>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</si>
  <si>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</si>
  <si>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</si>
  <si>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</si>
  <si>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</si>
  <si>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</si>
  <si>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</si>
  <si>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</si>
  <si>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</si>
  <si>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</si>
  <si>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</si>
  <si>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</si>
  <si>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</si>
  <si>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</si>
  <si>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</si>
  <si>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</si>
  <si>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</si>
  <si>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</si>
  <si>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</si>
  <si>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</si>
  <si>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</si>
  <si>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</si>
  <si>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</si>
  <si>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</si>
  <si>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</si>
  <si>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</si>
  <si>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</si>
  <si>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</si>
  <si>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</si>
  <si>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</si>
  <si>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</si>
  <si>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</si>
  <si>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</si>
  <si>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</si>
  <si>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</si>
  <si>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</si>
  <si>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</si>
  <si>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</si>
  <si>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</si>
  <si>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</si>
  <si>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</si>
  <si>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</si>
  <si>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</si>
  <si>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</si>
  <si>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</si>
  <si>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</si>
  <si>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</si>
  <si>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</si>
  <si>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</si>
  <si>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</si>
  <si>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</si>
  <si>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</si>
  <si>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</si>
  <si>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</si>
  <si>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</si>
  <si>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</si>
  <si>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</si>
  <si>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</si>
  <si>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</si>
  <si>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</si>
  <si>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</si>
  <si>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</si>
  <si>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</si>
  <si>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</si>
  <si>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</si>
  <si>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</si>
  <si>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</si>
  <si>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</si>
  <si>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</si>
  <si>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</si>
  <si>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</si>
  <si>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</si>
  <si>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</si>
  <si>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</si>
  <si>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</si>
  <si>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</si>
  <si>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</si>
  <si>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</si>
  <si>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</si>
  <si>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</si>
  <si>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</si>
  <si>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</si>
  <si>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</si>
  <si>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</si>
  <si>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</si>
  <si>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</si>
  <si>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</si>
  <si>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</si>
  <si>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</si>
  <si>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</si>
  <si>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</si>
  <si>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</si>
  <si>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</si>
  <si>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</si>
  <si>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</si>
  <si>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</si>
  <si>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</si>
  <si>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</si>
  <si>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</si>
  <si>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</si>
  <si>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</si>
  <si>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</si>
  <si>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</si>
  <si>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</si>
  <si>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</si>
  <si>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</si>
  <si>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</si>
  <si>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</si>
  <si>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</si>
  <si>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</si>
  <si>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</si>
  <si>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</si>
  <si>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</si>
  <si>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</si>
  <si>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</si>
  <si>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</si>
  <si>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</si>
  <si>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</si>
  <si>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</si>
  <si>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</si>
  <si>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</si>
  <si>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</si>
  <si>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</si>
  <si>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</si>
  <si>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</si>
  <si>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</si>
  <si>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</si>
  <si>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</si>
  <si>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</si>
  <si>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</si>
  <si>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</si>
  <si>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</si>
  <si>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</si>
  <si>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</si>
  <si>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</si>
  <si>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</si>
  <si>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</si>
  <si>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</si>
  <si>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</si>
  <si>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</si>
  <si>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</si>
  <si>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</si>
  <si>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</si>
  <si>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</si>
  <si>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</si>
  <si>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</si>
  <si>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</si>
  <si>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</si>
  <si>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</si>
  <si>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</si>
  <si>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</si>
  <si>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</si>
  <si>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</si>
  <si>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</si>
  <si>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</si>
  <si>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</si>
  <si>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</si>
  <si>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</si>
  <si>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</si>
  <si>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</si>
  <si>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</si>
  <si>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</si>
  <si>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</si>
  <si>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</si>
  <si>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</si>
  <si>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</si>
  <si>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</si>
  <si>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</si>
  <si>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</si>
  <si>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</si>
  <si>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</si>
  <si>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</si>
  <si>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</si>
  <si>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</si>
  <si>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</si>
  <si>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</si>
  <si>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</si>
  <si>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</si>
  <si>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</si>
  <si>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</si>
  <si>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</si>
  <si>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</si>
  <si>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</si>
  <si>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</si>
  <si>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</si>
  <si>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</si>
  <si>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</si>
  <si>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</si>
  <si>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</si>
  <si>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</si>
  <si>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</si>
  <si>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</si>
  <si>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</si>
  <si>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</si>
  <si>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</si>
  <si>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</si>
  <si>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</si>
  <si>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</si>
  <si>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</si>
  <si>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</si>
  <si>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</si>
  <si>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</si>
  <si>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</si>
  <si>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</si>
  <si>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</si>
  <si>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</si>
  <si>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</si>
  <si>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</si>
  <si>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</si>
  <si>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</si>
  <si>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</si>
  <si>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</si>
  <si>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</si>
  <si>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</si>
  <si>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</si>
  <si>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</si>
  <si>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</si>
  <si>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</si>
  <si>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</si>
  <si>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</si>
  <si>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</si>
  <si>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</si>
  <si>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</si>
  <si>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</si>
  <si>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</si>
  <si>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</si>
  <si>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</si>
  <si>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</si>
  <si>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</si>
  <si>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</si>
  <si>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</si>
  <si>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</si>
  <si>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</si>
  <si>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</si>
  <si>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</si>
  <si>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</si>
  <si>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</si>
  <si>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</si>
  <si>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</si>
  <si>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</si>
  <si>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</si>
  <si>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</si>
  <si>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</si>
  <si>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</si>
  <si>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</si>
  <si>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</si>
  <si>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</si>
  <si>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</si>
  <si>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</si>
  <si>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</si>
  <si>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</si>
  <si>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</si>
  <si>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</si>
  <si>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</si>
  <si>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</si>
  <si>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</si>
  <si>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</si>
  <si>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</si>
  <si>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</si>
  <si>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</si>
  <si>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</si>
  <si>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</si>
  <si>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</si>
  <si>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</si>
  <si>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</si>
  <si>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</si>
  <si>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</si>
  <si>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</si>
  <si>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</si>
  <si>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</si>
  <si>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</si>
  <si>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</si>
  <si>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</si>
  <si>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</si>
  <si>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</si>
  <si>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</si>
  <si>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</si>
  <si>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</si>
  <si>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</si>
  <si>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</si>
  <si>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</si>
  <si>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</si>
  <si>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</si>
  <si>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</si>
  <si>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</si>
  <si>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</si>
  <si>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</si>
  <si>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</si>
  <si>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</si>
  <si>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</si>
  <si>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</si>
  <si>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</si>
  <si>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</si>
  <si>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</si>
  <si>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</si>
  <si>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</si>
  <si>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</si>
  <si>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</si>
  <si>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</si>
  <si>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</si>
  <si>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</si>
  <si>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</si>
  <si>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</si>
  <si>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</si>
  <si>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</si>
  <si>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</si>
  <si>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</si>
  <si>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</si>
  <si>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</si>
  <si>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</si>
  <si>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</si>
  <si>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</si>
  <si>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</si>
  <si>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</si>
  <si>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</si>
  <si>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</si>
  <si>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</si>
  <si>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</si>
  <si>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</si>
  <si>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</si>
  <si>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</si>
  <si>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</si>
  <si>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</si>
  <si>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</si>
  <si>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</si>
  <si>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</si>
  <si>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</si>
  <si>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</si>
  <si>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</si>
  <si>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</si>
  <si>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</si>
  <si>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</si>
  <si>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</si>
  <si>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</si>
  <si>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</si>
  <si>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</si>
  <si>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</si>
  <si>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</si>
  <si>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</si>
  <si>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</si>
  <si>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</si>
  <si>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</si>
  <si>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</si>
  <si>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</si>
  <si>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</si>
  <si>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</si>
  <si>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</si>
  <si>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</si>
  <si>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</si>
  <si>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</si>
  <si>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</si>
  <si>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</si>
  <si>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</si>
  <si>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</si>
  <si>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</si>
  <si>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</si>
  <si>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</si>
  <si>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</si>
  <si>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</si>
  <si>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</si>
  <si>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</si>
  <si>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</si>
  <si>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</si>
  <si>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</si>
  <si>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</si>
  <si>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</si>
  <si>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</si>
  <si>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</si>
  <si>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</si>
  <si>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</si>
  <si>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</si>
  <si>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</si>
  <si>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</si>
  <si>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</si>
  <si>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</si>
  <si>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</si>
  <si>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</si>
  <si>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</si>
  <si>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</si>
  <si>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</si>
  <si>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</si>
  <si>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</si>
  <si>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</si>
  <si>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</si>
  <si>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</si>
  <si>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</si>
  <si>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</si>
  <si>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</si>
  <si>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</si>
  <si>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</si>
  <si>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</si>
  <si>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</si>
  <si>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</si>
  <si>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</si>
  <si>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</si>
  <si>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</si>
  <si>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</si>
  <si>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</si>
  <si>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</si>
  <si>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</si>
  <si>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</si>
  <si>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</si>
  <si>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</si>
  <si>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</si>
  <si>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</si>
  <si>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</si>
  <si>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</si>
  <si>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</si>
  <si>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</si>
  <si>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</si>
  <si>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</si>
  <si>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</si>
  <si>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</si>
  <si>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</si>
  <si>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</si>
  <si>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</si>
  <si>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</si>
  <si>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</si>
  <si>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</si>
  <si>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</si>
  <si>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</si>
  <si>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</si>
  <si>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</si>
  <si>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</si>
  <si>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</si>
  <si>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</si>
  <si>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</si>
  <si>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</si>
  <si>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</si>
  <si>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</si>
  <si>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</si>
  <si>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</si>
  <si>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</si>
  <si>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</si>
  <si>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</si>
  <si>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</si>
  <si>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</si>
  <si>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</si>
  <si>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</si>
  <si>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</si>
  <si>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</si>
  <si>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</si>
  <si>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</si>
  <si>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</si>
  <si>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</si>
  <si>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</si>
  <si>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</si>
  <si>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</si>
  <si>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</si>
  <si>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</si>
  <si>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</si>
  <si>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</si>
  <si>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</si>
  <si>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</si>
  <si>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</si>
  <si>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</si>
  <si>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</si>
  <si>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</si>
  <si>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</si>
  <si>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</si>
  <si>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</si>
  <si>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</si>
  <si>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</si>
  <si>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</si>
  <si>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</si>
  <si>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</si>
  <si>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</si>
  <si>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</si>
  <si>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</si>
  <si>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</si>
  <si>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</si>
  <si>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</si>
  <si>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</si>
  <si>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</si>
  <si>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</si>
  <si>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</si>
  <si>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</si>
  <si>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</si>
  <si>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</si>
  <si>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</si>
  <si>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</si>
  <si>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</si>
  <si>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</si>
  <si>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</si>
  <si>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</si>
  <si>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</si>
  <si>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</si>
  <si>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</si>
  <si>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</si>
  <si>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</si>
  <si>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</si>
  <si>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</si>
  <si>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</si>
  <si>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</si>
  <si>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</si>
  <si>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</si>
  <si>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</si>
  <si>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</si>
  <si>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</si>
  <si>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</si>
  <si>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</si>
  <si>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</si>
  <si>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</si>
  <si>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</si>
  <si>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</si>
  <si>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</si>
  <si>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</si>
  <si>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</si>
  <si>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</si>
  <si>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</si>
  <si>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</si>
  <si>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</si>
  <si>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</si>
  <si>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</si>
  <si>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</si>
  <si>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</si>
  <si>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</si>
  <si>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</si>
  <si>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</si>
  <si>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</si>
  <si>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</si>
  <si>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</si>
  <si>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</si>
  <si>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</si>
  <si>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</si>
  <si>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</si>
  <si>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</si>
  <si>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</si>
  <si>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</si>
  <si>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</si>
  <si>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</si>
  <si>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</si>
  <si>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</si>
  <si>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</si>
  <si>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</si>
  <si>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</si>
  <si>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</si>
  <si>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</si>
  <si>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</si>
  <si>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</si>
  <si>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</si>
  <si>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</si>
  <si>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</si>
  <si>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</si>
  <si>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</si>
  <si>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</si>
  <si>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</si>
  <si>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</si>
  <si>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</si>
  <si>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</si>
  <si>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</si>
  <si>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</si>
  <si>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</si>
  <si>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</si>
  <si>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</si>
  <si>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</si>
  <si>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</si>
  <si>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</si>
  <si>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</si>
  <si>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</si>
  <si>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</si>
  <si>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</si>
  <si>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</si>
  <si>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</si>
  <si>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</si>
  <si>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</si>
  <si>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</si>
  <si>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</si>
  <si>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</si>
  <si>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</si>
  <si>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</si>
  <si>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</si>
  <si>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</si>
  <si>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</si>
  <si>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</si>
  <si>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</si>
  <si>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</si>
  <si>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</si>
  <si>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</si>
  <si>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</si>
  <si>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</si>
  <si>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</si>
  <si>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</si>
  <si>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</si>
  <si>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</si>
  <si>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</si>
  <si>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</si>
  <si>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</si>
  <si>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</si>
  <si>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</si>
  <si>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</si>
  <si>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</si>
  <si>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</si>
  <si>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</si>
  <si>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</si>
  <si>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</si>
  <si>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</si>
  <si>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</si>
  <si>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</si>
  <si>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</si>
  <si>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</si>
  <si>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</si>
  <si>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</si>
  <si>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</si>
  <si>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</si>
  <si>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</si>
  <si>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</si>
  <si>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</si>
  <si>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</si>
  <si>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</si>
  <si>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</si>
  <si>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</si>
  <si>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</si>
  <si>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</si>
  <si>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</si>
  <si>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</si>
  <si>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</si>
  <si>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</si>
  <si>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</si>
  <si>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</si>
  <si>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</si>
  <si>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</si>
  <si>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</si>
  <si>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</si>
  <si>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</si>
  <si>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</si>
  <si>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</si>
  <si>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</si>
  <si>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</si>
  <si>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</si>
  <si>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</si>
  <si>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</si>
  <si>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</si>
  <si>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</si>
  <si>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</si>
  <si>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</si>
  <si>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</si>
  <si>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</si>
  <si>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</si>
  <si>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</si>
  <si>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</si>
  <si>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</si>
  <si>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</si>
  <si>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</si>
  <si>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</si>
  <si>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</si>
  <si>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</si>
  <si>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</si>
  <si>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</si>
  <si>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</si>
  <si>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</si>
  <si>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</si>
  <si>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</si>
  <si>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</si>
  <si>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</si>
  <si>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</si>
  <si>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</si>
  <si>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</si>
  <si>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</si>
  <si>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</si>
  <si>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</si>
  <si>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</si>
  <si>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</si>
  <si>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</si>
  <si>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</si>
  <si>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</si>
  <si>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</si>
  <si>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</si>
  <si>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</si>
  <si>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</si>
  <si>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</si>
  <si>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</si>
  <si>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</si>
  <si>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</si>
  <si>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</si>
  <si>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</si>
  <si>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</si>
  <si>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</si>
  <si>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</si>
  <si>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</si>
  <si>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</si>
  <si>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</si>
  <si>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</si>
  <si>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</si>
  <si>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</si>
  <si>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</si>
  <si>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</si>
  <si>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</si>
  <si>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</si>
  <si>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</si>
  <si>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</si>
  <si>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</si>
  <si>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</si>
  <si>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</si>
  <si>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</si>
  <si>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</si>
  <si>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</si>
  <si>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</si>
  <si>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</si>
  <si>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</si>
  <si>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</si>
  <si>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</si>
  <si>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</si>
  <si>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</si>
  <si>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</si>
  <si>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</si>
  <si>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</si>
  <si>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</si>
  <si>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</si>
  <si>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</si>
  <si>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</si>
  <si>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</si>
  <si>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</si>
  <si>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</si>
  <si>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</si>
  <si>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</si>
  <si>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</si>
  <si>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</si>
  <si>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</si>
  <si>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</si>
  <si>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</si>
  <si>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</si>
  <si>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</si>
  <si>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</si>
  <si>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</si>
  <si>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</si>
  <si>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</si>
  <si>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</si>
  <si>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</si>
  <si>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</si>
  <si>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</si>
  <si>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</si>
  <si>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</si>
  <si>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</si>
  <si>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</si>
  <si>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</si>
  <si>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</si>
  <si>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</si>
  <si>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</si>
  <si>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</si>
  <si>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</si>
  <si>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</si>
  <si>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</si>
  <si>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</si>
  <si>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</si>
  <si>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</si>
  <si>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</si>
  <si>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</si>
  <si>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</si>
  <si>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</si>
  <si>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</si>
  <si>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</si>
  <si>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</si>
  <si>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</si>
  <si>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</si>
  <si>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</si>
  <si>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</si>
  <si>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</si>
  <si>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</si>
  <si>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</si>
  <si>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</si>
  <si>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</si>
  <si>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</si>
  <si>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</si>
  <si>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</si>
  <si>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</si>
  <si>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</si>
  <si>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</si>
  <si>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</si>
  <si>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</si>
  <si>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</si>
  <si>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</si>
  <si>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</si>
  <si>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</si>
  <si>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</si>
  <si>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</si>
  <si>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</si>
  <si>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</si>
  <si>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</si>
  <si>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</si>
  <si>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</si>
  <si>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</si>
  <si>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</si>
  <si>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</si>
  <si>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</si>
  <si>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</si>
  <si>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</si>
  <si>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</si>
  <si>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</si>
  <si>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</si>
  <si>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</si>
  <si>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</si>
  <si>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</si>
  <si>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</si>
  <si>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</si>
  <si>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</si>
  <si>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</si>
  <si>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</si>
  <si>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</si>
  <si>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</si>
  <si>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</si>
  <si>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</si>
  <si>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</si>
  <si>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</si>
  <si>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</si>
  <si>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</si>
  <si>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</si>
  <si>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</si>
  <si>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</si>
  <si>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</si>
  <si>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</si>
  <si>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</si>
  <si>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</si>
  <si>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</si>
  <si>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</si>
  <si>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</si>
  <si>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</si>
  <si>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</si>
  <si>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</si>
  <si>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</si>
  <si>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</si>
  <si>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</si>
  <si>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</si>
  <si>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</si>
  <si>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</si>
  <si>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</si>
  <si>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</si>
  <si>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</si>
  <si>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</si>
  <si>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</si>
  <si>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</si>
  <si>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</si>
  <si>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</si>
  <si>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</si>
  <si>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</si>
  <si>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</si>
  <si>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</si>
  <si>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</si>
  <si>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</si>
  <si>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</si>
  <si>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</si>
  <si>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</si>
  <si>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</si>
  <si>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</si>
  <si>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</si>
  <si>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</si>
  <si>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</si>
  <si>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</si>
  <si>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</si>
  <si>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</si>
  <si>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</si>
  <si>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</si>
  <si>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</si>
  <si>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</si>
  <si>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</si>
  <si>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</si>
  <si>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</si>
  <si>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</si>
  <si>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</si>
  <si>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</si>
  <si>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</si>
  <si>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</si>
  <si>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</si>
  <si>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</si>
  <si>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</si>
  <si>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</si>
  <si>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</si>
  <si>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</si>
  <si>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</si>
  <si>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</si>
  <si>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</si>
  <si>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</si>
  <si>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</si>
  <si>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</si>
  <si>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</si>
  <si>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</si>
  <si>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</si>
  <si>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</si>
  <si>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</si>
  <si>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</si>
  <si>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</si>
  <si>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</si>
  <si>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</si>
  <si>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</si>
  <si>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</si>
  <si>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</si>
  <si>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</si>
  <si>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</si>
  <si>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</si>
  <si>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</si>
  <si>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</si>
  <si>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</si>
  <si>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</si>
  <si>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</si>
  <si>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</si>
  <si>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</si>
  <si>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</si>
  <si>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</si>
  <si>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</si>
  <si>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</si>
  <si>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</si>
  <si>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</si>
  <si>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</si>
  <si>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</si>
  <si>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</si>
  <si>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</si>
  <si>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</si>
  <si>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</si>
  <si>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</si>
  <si>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</si>
  <si>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</si>
  <si>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</si>
  <si>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</si>
  <si>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</si>
  <si>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</si>
  <si>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</si>
  <si>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</si>
  <si>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</si>
  <si>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</si>
  <si>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</si>
  <si>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</si>
  <si>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</si>
  <si>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</si>
  <si>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</si>
  <si>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</si>
  <si>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</si>
  <si>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</si>
  <si>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</si>
  <si>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</si>
  <si>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</si>
  <si>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</si>
  <si>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</si>
  <si>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</si>
  <si>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</si>
  <si>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</si>
  <si>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</si>
  <si>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</si>
  <si>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</si>
  <si>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</si>
  <si>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</si>
  <si>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</si>
  <si>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</si>
  <si>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</si>
  <si>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</si>
  <si>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</si>
  <si>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</si>
  <si>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</si>
  <si>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</si>
  <si>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</si>
  <si>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</si>
  <si>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</si>
  <si>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</si>
  <si>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</si>
  <si>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</si>
  <si>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</si>
  <si>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</si>
  <si>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</si>
  <si>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</si>
  <si>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</si>
  <si>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</si>
  <si>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</si>
  <si>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</si>
  <si>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</si>
  <si>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</si>
  <si>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</si>
  <si>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</si>
  <si>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</si>
  <si>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</si>
  <si>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</si>
  <si>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</si>
  <si>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</si>
  <si>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</si>
  <si>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</si>
  <si>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</si>
  <si>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</si>
  <si>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</si>
  <si>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</si>
  <si>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</si>
  <si>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</si>
  <si>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</si>
  <si>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</si>
  <si>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</si>
  <si>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</si>
  <si>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</si>
  <si>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</si>
  <si>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</si>
  <si>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</si>
  <si>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</si>
  <si>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</si>
  <si>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</si>
  <si>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</si>
  <si>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</si>
  <si>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</si>
  <si>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</si>
  <si>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</si>
  <si>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</si>
  <si>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</si>
  <si>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</si>
  <si>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</si>
  <si>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</si>
  <si>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</si>
  <si>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</si>
  <si>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</si>
  <si>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</si>
  <si>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</si>
  <si>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</si>
  <si>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</si>
  <si>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</si>
  <si>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</si>
  <si>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</si>
  <si>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</si>
  <si>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</si>
  <si>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</si>
  <si>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</si>
  <si>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</si>
  <si>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</si>
  <si>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</si>
  <si>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</si>
  <si>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</si>
  <si>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</si>
  <si>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</si>
  <si>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</si>
  <si>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</si>
  <si>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</si>
  <si>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</si>
  <si>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</si>
  <si>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</si>
  <si>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</si>
  <si>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</si>
  <si>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</si>
  <si>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</si>
  <si>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</si>
  <si>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</si>
  <si>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</si>
  <si>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</si>
  <si>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</si>
  <si>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</si>
  <si>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</si>
  <si>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</si>
  <si>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</si>
  <si>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</si>
  <si>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</si>
  <si>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</si>
  <si>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</si>
  <si>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</si>
  <si>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</si>
  <si>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</si>
  <si>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</si>
  <si>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</si>
  <si>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</si>
  <si>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</si>
  <si>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</si>
  <si>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</si>
  <si>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</si>
  <si>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</si>
  <si>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</si>
  <si>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</si>
  <si>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</si>
  <si>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</si>
  <si>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</si>
  <si>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</si>
  <si>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</si>
  <si>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</si>
  <si>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</si>
  <si>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</si>
  <si>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</si>
  <si>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</si>
  <si>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</si>
  <si>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</si>
  <si>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</si>
  <si>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</si>
  <si>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</si>
  <si>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</si>
  <si>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</si>
  <si>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</si>
  <si>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</si>
  <si>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</si>
  <si>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</si>
  <si>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</si>
  <si>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</si>
  <si>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</si>
  <si>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</si>
  <si>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</si>
  <si>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</si>
  <si>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</si>
  <si>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</si>
  <si>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</si>
  <si>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</si>
  <si>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</si>
  <si>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</si>
  <si>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</si>
  <si>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</si>
  <si>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</si>
  <si>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</si>
  <si>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</si>
  <si>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</si>
  <si>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</si>
  <si>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</si>
  <si>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</si>
  <si>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</si>
  <si>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</si>
  <si>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</si>
  <si>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</si>
  <si>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</si>
  <si>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</si>
  <si>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</si>
  <si>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</si>
  <si>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</si>
  <si>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</si>
  <si>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</si>
  <si>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</si>
  <si>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</si>
  <si>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</si>
  <si>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</si>
  <si>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</si>
  <si>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</si>
  <si>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</si>
  <si>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</si>
  <si>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</si>
  <si>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</si>
  <si>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</si>
  <si>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</si>
  <si>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</si>
  <si>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</si>
  <si>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</si>
  <si>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</si>
  <si>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</si>
  <si>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</si>
  <si>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</si>
  <si>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</si>
  <si>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</si>
  <si>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</si>
  <si>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</si>
  <si>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</si>
  <si>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</si>
  <si>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</si>
  <si>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</si>
  <si>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</si>
  <si>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</si>
  <si>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</si>
  <si>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</si>
  <si>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</si>
  <si>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</si>
  <si>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</si>
  <si>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</si>
  <si>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</si>
  <si>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</si>
  <si>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</si>
  <si>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</si>
  <si>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</si>
  <si>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</si>
  <si>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</si>
  <si>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</si>
  <si>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</si>
  <si>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</si>
  <si>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</si>
  <si>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</si>
  <si>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</si>
  <si>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</si>
  <si>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</si>
  <si>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</si>
  <si>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</si>
  <si>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</si>
  <si>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</si>
  <si>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</si>
  <si>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</si>
  <si>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</si>
  <si>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</si>
  <si>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</si>
  <si>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</si>
  <si>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</si>
  <si>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</si>
  <si>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</si>
  <si>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</si>
  <si>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</si>
  <si>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</si>
  <si>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</si>
  <si>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</si>
  <si>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</si>
  <si>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</si>
  <si>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</si>
  <si>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</si>
  <si>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</si>
  <si>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</si>
  <si>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</si>
  <si>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</si>
  <si>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</si>
  <si>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</si>
  <si>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</si>
  <si>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</si>
  <si>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</si>
  <si>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</si>
  <si>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</si>
  <si>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</si>
  <si>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</si>
  <si>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</si>
  <si>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</si>
  <si>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</si>
  <si>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</si>
  <si>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</si>
  <si>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</si>
  <si>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</si>
  <si>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</si>
  <si>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</si>
  <si>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</si>
  <si>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</si>
  <si>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</si>
  <si>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</si>
  <si>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</si>
  <si>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</si>
  <si>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</si>
  <si>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</si>
  <si>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</si>
  <si>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</si>
  <si>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</si>
  <si>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</si>
  <si>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</si>
  <si>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</si>
  <si>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</si>
  <si>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</si>
  <si>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</si>
  <si>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</si>
  <si>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</si>
  <si>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</si>
  <si>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</si>
  <si>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</si>
  <si>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</si>
  <si>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</si>
  <si>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</si>
  <si>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</si>
  <si>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</si>
  <si>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</si>
  <si>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</si>
  <si>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</si>
  <si>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</si>
  <si>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</si>
  <si>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</si>
  <si>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</si>
  <si>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</si>
  <si>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</si>
  <si>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</si>
  <si>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</si>
  <si>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</si>
  <si>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</si>
  <si>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</si>
  <si>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</si>
  <si>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</si>
  <si>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</si>
  <si>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</si>
  <si>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</si>
  <si>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</si>
  <si>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</si>
  <si>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</si>
  <si>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</si>
  <si>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</si>
  <si>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</si>
  <si>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</si>
  <si>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</si>
  <si>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</si>
  <si>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</si>
  <si>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</si>
  <si>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</si>
  <si>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</si>
  <si>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</si>
  <si>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</si>
  <si>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</si>
  <si>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</si>
  <si>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</si>
  <si>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</si>
  <si>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</si>
  <si>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</si>
  <si>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</si>
  <si>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</si>
  <si>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</si>
  <si>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</si>
  <si>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</si>
  <si>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</si>
  <si>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</si>
  <si>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</si>
  <si>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</si>
  <si>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</si>
  <si>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</si>
  <si>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</si>
  <si>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</si>
  <si>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</si>
  <si>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</si>
  <si>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</si>
  <si>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</si>
  <si>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</si>
  <si>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</si>
  <si>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</si>
  <si>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</si>
  <si>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</si>
  <si>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</si>
  <si>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</si>
  <si>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</si>
  <si>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</si>
  <si>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</si>
  <si>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</si>
  <si>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</si>
  <si>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</si>
  <si>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</si>
  <si>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</si>
  <si>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</si>
  <si>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</si>
  <si>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</si>
  <si>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</si>
  <si>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</si>
  <si>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</si>
  <si>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</si>
  <si>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</si>
  <si>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</si>
  <si>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</si>
  <si>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</si>
  <si>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</si>
  <si>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</si>
  <si>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</si>
  <si>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</si>
  <si>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</si>
  <si>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</si>
  <si>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</si>
  <si>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</si>
  <si>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</si>
  <si>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</si>
  <si>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</si>
  <si>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</si>
  <si>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</si>
  <si>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</si>
  <si>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</si>
  <si>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</si>
  <si>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</si>
  <si>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</si>
  <si>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</si>
  <si>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</si>
  <si>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</si>
  <si>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</si>
  <si>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</si>
  <si>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</si>
  <si>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</si>
  <si>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</si>
  <si>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</si>
  <si>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</si>
  <si>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</si>
  <si>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</si>
  <si>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</si>
  <si>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</si>
  <si>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</si>
  <si>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</si>
  <si>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</si>
  <si>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</si>
  <si>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</si>
  <si>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</si>
  <si>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</si>
  <si>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</si>
  <si>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</si>
  <si>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</si>
  <si>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</si>
  <si>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</si>
  <si>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</si>
  <si>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</si>
  <si>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</si>
  <si>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</si>
  <si>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</si>
  <si>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</si>
  <si>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</si>
  <si>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</si>
  <si>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</si>
  <si>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</si>
  <si>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</si>
  <si>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</si>
  <si>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</si>
  <si>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</si>
  <si>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</si>
  <si>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</si>
  <si>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</si>
  <si>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</si>
  <si>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</si>
  <si>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</si>
  <si>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</si>
  <si>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</si>
  <si>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</si>
  <si>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</si>
  <si>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</si>
  <si>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</si>
  <si>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</si>
  <si>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</si>
  <si>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</si>
  <si>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</si>
  <si>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</si>
  <si>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</si>
  <si>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</si>
  <si>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</si>
  <si>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</si>
  <si>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</si>
  <si>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</si>
  <si>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</si>
  <si>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</si>
  <si>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</si>
  <si>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</si>
  <si>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</si>
  <si>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</si>
  <si>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</si>
  <si>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</si>
  <si>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</si>
  <si>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</si>
  <si>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</si>
  <si>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</si>
  <si>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</si>
  <si>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</si>
  <si>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</si>
  <si>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</si>
  <si>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</si>
  <si>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</si>
  <si>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</si>
  <si>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</si>
  <si>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</si>
  <si>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</si>
  <si>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</si>
  <si>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</si>
  <si>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</si>
  <si>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</si>
  <si>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</si>
  <si>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</si>
  <si>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</si>
  <si>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</si>
  <si>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</si>
  <si>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</si>
  <si>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</si>
  <si>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</si>
  <si>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</si>
  <si>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</si>
  <si>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</si>
  <si>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</si>
  <si>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</si>
  <si>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</si>
  <si>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</si>
  <si>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</si>
  <si>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</si>
  <si>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</si>
  <si>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</si>
  <si>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</si>
  <si>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</si>
  <si>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</si>
  <si>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</si>
  <si>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</si>
  <si>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</si>
  <si>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</si>
  <si>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</si>
  <si>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</si>
  <si>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</si>
  <si>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</si>
  <si>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</si>
  <si>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</si>
  <si>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</si>
  <si>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</si>
  <si>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</si>
  <si>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</si>
  <si>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</si>
  <si>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</si>
  <si>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</si>
  <si>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</si>
  <si>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</si>
  <si>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</si>
  <si>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</si>
  <si>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</si>
  <si>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</si>
  <si>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</si>
  <si>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</si>
  <si>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</si>
  <si>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</si>
  <si>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</si>
  <si>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</si>
  <si>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</si>
  <si>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</si>
  <si>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</si>
  <si>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</si>
  <si>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</si>
  <si>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</si>
  <si>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</si>
  <si>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</si>
  <si>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</si>
  <si>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</si>
  <si>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</si>
  <si>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</si>
  <si>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</si>
  <si>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</si>
  <si>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</si>
  <si>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</si>
  <si>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</si>
  <si>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</si>
  <si>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</si>
  <si>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</si>
  <si>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</si>
  <si>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</si>
  <si>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</si>
  <si>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</si>
  <si>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</si>
  <si>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</si>
  <si>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</si>
  <si>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</si>
  <si>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</si>
  <si>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</si>
  <si>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</si>
  <si>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</si>
  <si>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</si>
  <si>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</si>
  <si>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</si>
  <si>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</si>
  <si>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</si>
  <si>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</si>
  <si>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</si>
  <si>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</si>
  <si>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</si>
  <si>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</si>
  <si>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</si>
  <si>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</si>
  <si>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</si>
  <si>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</si>
  <si>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</si>
  <si>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</si>
  <si>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</si>
  <si>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</si>
  <si>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</si>
  <si>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</si>
  <si>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</si>
  <si>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</si>
  <si>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</si>
  <si>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</si>
  <si>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</si>
  <si>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</si>
  <si>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</si>
  <si>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</si>
  <si>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</si>
  <si>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</si>
  <si>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</si>
  <si>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</si>
  <si>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</si>
  <si>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</si>
  <si>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</si>
  <si>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</si>
  <si>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</si>
  <si>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</si>
  <si>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</si>
  <si>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</si>
  <si>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</si>
  <si>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</si>
  <si>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</si>
  <si>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</si>
  <si>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</si>
  <si>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</si>
  <si>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</si>
  <si>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</si>
  <si>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</si>
  <si>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</si>
  <si>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</si>
  <si>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</si>
  <si>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</si>
  <si>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</si>
  <si>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</si>
  <si>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</si>
  <si>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</si>
  <si>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</si>
  <si>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</si>
  <si>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</si>
  <si>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</si>
  <si>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</si>
  <si>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</si>
  <si>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</si>
  <si>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</si>
  <si>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</si>
  <si>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</si>
  <si>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</si>
  <si>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</si>
  <si>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</si>
  <si>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</si>
  <si>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</si>
  <si>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</si>
  <si>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</si>
  <si>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</si>
  <si>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</si>
  <si>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</si>
  <si>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</si>
  <si>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</si>
  <si>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</si>
  <si>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</si>
  <si>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</si>
  <si>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</si>
  <si>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</si>
  <si>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</si>
  <si>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</si>
  <si>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</si>
  <si>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</si>
  <si>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</si>
  <si>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</si>
  <si>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</si>
  <si>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</si>
  <si>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</si>
  <si>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</si>
  <si>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</si>
  <si>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</si>
  <si>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</si>
  <si>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</si>
  <si>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</si>
  <si>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</si>
  <si>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</si>
  <si>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</si>
  <si>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</si>
  <si>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</si>
  <si>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</si>
  <si>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</si>
  <si>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</si>
  <si>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</si>
  <si>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</si>
  <si>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</si>
  <si>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</si>
  <si>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</si>
  <si>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</si>
  <si>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</si>
  <si>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</si>
  <si>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</si>
  <si>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</si>
  <si>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</si>
  <si>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</si>
  <si>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</si>
  <si>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</si>
  <si>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</si>
  <si>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</si>
  <si>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</si>
  <si>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</si>
  <si>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</si>
  <si>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</si>
  <si>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</si>
  <si>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</si>
  <si>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</si>
  <si>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</si>
  <si>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</si>
  <si>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</si>
  <si>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</si>
  <si>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</si>
  <si>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</si>
  <si>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</si>
  <si>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</si>
  <si>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</si>
  <si>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</si>
  <si>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</si>
  <si>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</si>
  <si>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</si>
  <si>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</si>
  <si>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</si>
  <si>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</si>
  <si>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</si>
  <si>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</si>
  <si>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</si>
  <si>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</si>
  <si>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</si>
  <si>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</si>
  <si>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</si>
  <si>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</si>
  <si>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</si>
  <si>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</si>
  <si>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</si>
  <si>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</si>
  <si>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</si>
  <si>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</si>
  <si>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</si>
  <si>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</si>
  <si>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</si>
  <si>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</si>
  <si>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</si>
  <si>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</si>
  <si>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</si>
  <si>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</si>
  <si>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</si>
  <si>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</si>
  <si>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</si>
  <si>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</si>
  <si>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</si>
  <si>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</si>
  <si>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</si>
  <si>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</si>
  <si>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</si>
  <si>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</si>
  <si>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</si>
  <si>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</si>
  <si>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</si>
  <si>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</si>
  <si>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</si>
  <si>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</si>
  <si>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</si>
  <si>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</si>
  <si>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</si>
  <si>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</si>
  <si>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</si>
  <si>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</si>
  <si>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</si>
  <si>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</si>
  <si>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</si>
  <si>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</si>
  <si>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</si>
  <si>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</si>
  <si>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</si>
  <si>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</si>
  <si>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</si>
  <si>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</si>
  <si>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</si>
  <si>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</si>
  <si>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</si>
  <si>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</si>
  <si>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</si>
  <si>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</si>
  <si>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</si>
  <si>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</si>
  <si>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</si>
  <si>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</si>
  <si>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</si>
  <si>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</si>
  <si>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</si>
  <si>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</si>
  <si>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</si>
  <si>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</si>
  <si>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</si>
  <si>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</si>
  <si>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</si>
  <si>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</si>
  <si>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</si>
  <si>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</si>
  <si>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</si>
  <si>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</si>
  <si>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</si>
  <si>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</si>
  <si>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</si>
  <si>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</si>
  <si>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</si>
  <si>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</si>
  <si>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</si>
  <si>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</si>
  <si>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</si>
  <si>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</si>
  <si>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</si>
  <si>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</si>
  <si>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</si>
  <si>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</si>
  <si>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</si>
  <si>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</si>
  <si>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</si>
  <si>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</si>
  <si>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</si>
  <si>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</si>
  <si>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</si>
  <si>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</si>
  <si>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</si>
  <si>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</si>
  <si>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</si>
  <si>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</si>
  <si>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</si>
  <si>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</si>
  <si>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</si>
  <si>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</si>
  <si>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</si>
  <si>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</si>
  <si>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</si>
  <si>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</si>
  <si>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</si>
  <si>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</si>
  <si>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</si>
  <si>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</si>
  <si>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</si>
  <si>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</si>
  <si>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</si>
  <si>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</si>
  <si>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</si>
  <si>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</si>
  <si>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</si>
  <si>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</si>
  <si>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</si>
  <si>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</si>
  <si>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</si>
  <si>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</si>
  <si>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</si>
  <si>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</si>
  <si>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</si>
  <si>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</si>
  <si>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</si>
  <si>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</si>
  <si>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</si>
  <si>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</si>
  <si>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</si>
  <si>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</si>
  <si>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</si>
  <si>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</si>
  <si>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</si>
  <si>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</si>
  <si>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</si>
  <si>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</si>
  <si>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</si>
  <si>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</si>
  <si>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</si>
  <si>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</si>
  <si>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</si>
  <si>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</si>
  <si>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</si>
  <si>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</si>
  <si>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</si>
  <si>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</si>
  <si>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</si>
  <si>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</si>
  <si>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</si>
  <si>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</si>
  <si>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</si>
  <si>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</si>
  <si>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</si>
  <si>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</si>
  <si>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</si>
  <si>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</si>
  <si>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</si>
  <si>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</si>
  <si>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</si>
  <si>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</si>
  <si>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</si>
  <si>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</si>
  <si>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</si>
  <si>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</si>
  <si>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</si>
  <si>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</si>
  <si>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</si>
  <si>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</si>
  <si>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</si>
  <si>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</si>
  <si>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</si>
  <si>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</si>
  <si>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</si>
  <si>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</si>
  <si>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</si>
  <si>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</si>
  <si>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</si>
  <si>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</si>
  <si>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</si>
  <si>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</si>
  <si>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</si>
  <si>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</si>
  <si>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</si>
  <si>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</si>
  <si>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</si>
  <si>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</si>
  <si>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</si>
  <si>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</si>
  <si>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</si>
  <si>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</si>
  <si>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</si>
  <si>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</si>
  <si>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</si>
  <si>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</si>
  <si>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</si>
  <si>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</si>
  <si>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</si>
  <si>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</si>
  <si>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</si>
  <si>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</si>
  <si>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</si>
  <si>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</si>
  <si>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</si>
  <si>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</si>
  <si>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</si>
  <si>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</si>
  <si>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</si>
  <si>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</si>
  <si>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</si>
  <si>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</si>
  <si>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</si>
  <si>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</si>
  <si>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</si>
  <si>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</si>
  <si>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</si>
  <si>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</si>
  <si>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</si>
  <si>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</si>
  <si>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</si>
  <si>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</si>
  <si>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</si>
  <si>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</si>
  <si>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</si>
  <si>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</si>
  <si>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</si>
  <si>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</si>
  <si>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</si>
  <si>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</si>
  <si>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</si>
  <si>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</si>
  <si>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</si>
  <si>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</si>
  <si>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</si>
  <si>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</si>
  <si>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</si>
  <si>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</si>
  <si>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</si>
  <si>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</si>
  <si>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</si>
  <si>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</si>
  <si>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</si>
  <si>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</si>
  <si>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</si>
  <si>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</si>
  <si>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</si>
  <si>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</si>
  <si>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</si>
  <si>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</si>
  <si>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</si>
  <si>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</si>
  <si>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</si>
  <si>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</si>
  <si>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</si>
  <si>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</si>
  <si>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</si>
  <si>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</si>
  <si>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</si>
  <si>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</si>
  <si>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</si>
  <si>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</si>
  <si>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</si>
  <si>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</si>
  <si>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</si>
  <si>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</si>
  <si>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</si>
  <si>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</si>
  <si>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</si>
  <si>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</si>
  <si>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</si>
  <si>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</si>
  <si>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</si>
  <si>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</si>
  <si>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</si>
  <si>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</si>
  <si>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</si>
  <si>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</si>
  <si>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</si>
  <si>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</si>
  <si>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</si>
  <si>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</si>
  <si>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</si>
  <si>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</si>
  <si>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</si>
  <si>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</si>
  <si>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</si>
  <si>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</si>
  <si>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</si>
  <si>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</si>
  <si>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</si>
  <si>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</si>
  <si>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</si>
  <si>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</si>
  <si>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</si>
  <si>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</si>
  <si>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</si>
  <si>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</si>
  <si>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</si>
  <si>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</si>
  <si>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</si>
  <si>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</si>
  <si>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</si>
  <si>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</si>
  <si>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</si>
  <si>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</si>
  <si>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</si>
  <si>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</si>
  <si>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</si>
  <si>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</si>
  <si>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</si>
  <si>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</si>
  <si>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</si>
  <si>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</si>
  <si>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</si>
  <si>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</si>
  <si>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</si>
  <si>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</si>
  <si>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</si>
  <si>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</si>
  <si>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</si>
  <si>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</si>
  <si>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</si>
  <si>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</si>
  <si>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</si>
  <si>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</si>
  <si>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</si>
  <si>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</si>
  <si>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</si>
  <si>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</si>
  <si>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</si>
  <si>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</si>
  <si>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</si>
  <si>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</si>
  <si>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</si>
  <si>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</si>
  <si>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</si>
  <si>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</si>
  <si>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</si>
  <si>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</si>
  <si>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</si>
  <si>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</si>
  <si>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</si>
  <si>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</si>
  <si>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</si>
  <si>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</si>
  <si>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</si>
  <si>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</si>
  <si>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</si>
  <si>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</si>
  <si>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</si>
  <si>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</si>
  <si>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</si>
  <si>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</si>
  <si>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</si>
  <si>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</si>
  <si>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</si>
  <si>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</si>
  <si>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</si>
  <si>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</si>
  <si>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</si>
  <si>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</si>
  <si>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</si>
  <si>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</si>
  <si>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</si>
  <si>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</si>
  <si>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</si>
  <si>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</si>
  <si>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</si>
  <si>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</si>
  <si>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</si>
  <si>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</si>
  <si>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</si>
  <si>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</si>
  <si>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</si>
  <si>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</si>
  <si>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</si>
  <si>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</si>
  <si>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</si>
  <si>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</si>
  <si>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</si>
  <si>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</si>
  <si>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</si>
  <si>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</si>
  <si>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</si>
  <si>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</si>
  <si>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</si>
  <si>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</si>
  <si>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</si>
  <si>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</si>
  <si>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</si>
  <si>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</si>
  <si>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</si>
  <si>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</si>
  <si>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</si>
  <si>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</si>
  <si>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</si>
  <si>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</si>
  <si>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</si>
  <si>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</si>
  <si>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</si>
  <si>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</si>
  <si>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</si>
  <si>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</si>
  <si>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</si>
  <si>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</si>
  <si>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</si>
  <si>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</si>
  <si>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</si>
  <si>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</si>
  <si>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</si>
  <si>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</si>
  <si>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</si>
  <si>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</si>
  <si>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</si>
  <si>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</si>
  <si>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</si>
  <si>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</si>
  <si>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</si>
  <si>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</si>
  <si>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</si>
  <si>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</si>
  <si>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</si>
  <si>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</si>
  <si>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</si>
  <si>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</si>
  <si>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</si>
  <si>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</si>
  <si>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</si>
  <si>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</si>
  <si>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</si>
  <si>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</si>
  <si>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</si>
  <si>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</si>
  <si>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</si>
  <si>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</si>
  <si>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</si>
  <si>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</si>
  <si>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</si>
  <si>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</si>
  <si>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</si>
  <si>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</si>
  <si>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</si>
  <si>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</si>
  <si>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</si>
  <si>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</si>
  <si>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</si>
  <si>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</si>
  <si>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</si>
  <si>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</si>
  <si>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</si>
  <si>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</si>
  <si>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</si>
  <si>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</si>
  <si>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</si>
  <si>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</si>
  <si>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</si>
  <si>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</si>
  <si>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</si>
  <si>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</si>
  <si>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</si>
  <si>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</si>
  <si>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</si>
  <si>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</si>
  <si>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</si>
  <si>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</si>
  <si>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</si>
  <si>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</si>
  <si>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</si>
  <si>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</si>
  <si>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</si>
  <si>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</si>
  <si>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</si>
  <si>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</si>
  <si>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</si>
  <si>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</si>
  <si>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</si>
  <si>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</si>
  <si>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</si>
  <si>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</si>
  <si>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</si>
  <si>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</si>
  <si>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</si>
  <si>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</si>
  <si>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</si>
  <si>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</si>
  <si>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</si>
  <si>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</si>
  <si>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</si>
  <si>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</si>
  <si>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</si>
  <si>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</si>
  <si>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</si>
  <si>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</si>
  <si>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</si>
  <si>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</si>
  <si>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</si>
  <si>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</si>
  <si>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</si>
  <si>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</si>
  <si>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</si>
  <si>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</si>
  <si>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</si>
  <si>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</si>
  <si>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</si>
  <si>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</si>
  <si>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</si>
  <si>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</si>
  <si>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</si>
  <si>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</si>
  <si>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</si>
  <si>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</si>
  <si>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</si>
  <si>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</si>
  <si>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</si>
  <si>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</si>
  <si>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</si>
  <si>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</si>
  <si>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</si>
  <si>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</si>
  <si>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</si>
  <si>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</si>
  <si>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</si>
  <si>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</si>
  <si>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</si>
  <si>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</si>
  <si>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</si>
  <si>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</si>
  <si>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</si>
  <si>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</si>
  <si>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</si>
  <si>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</si>
  <si>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</si>
  <si>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</si>
  <si>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</si>
  <si>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</si>
  <si>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</si>
  <si>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</si>
  <si>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</si>
  <si>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</si>
  <si>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</si>
  <si>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</si>
  <si>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</si>
  <si>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</si>
  <si>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</si>
  <si>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</si>
  <si>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</si>
  <si>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</si>
  <si>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</si>
  <si>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</si>
  <si>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</si>
  <si>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</si>
  <si>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</si>
  <si>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</si>
  <si>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</si>
  <si>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</si>
  <si>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</si>
  <si>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</si>
  <si>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</si>
  <si>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</si>
  <si>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</si>
  <si>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</si>
  <si>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</si>
  <si>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</si>
  <si>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</si>
  <si>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</si>
  <si>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</si>
  <si>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</si>
  <si>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</si>
  <si>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</si>
  <si>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</si>
  <si>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</si>
  <si>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</si>
  <si>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</si>
  <si>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</si>
  <si>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</si>
  <si>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</si>
  <si>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</si>
  <si>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</si>
  <si>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</si>
  <si>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</si>
  <si>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</si>
  <si>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</si>
  <si>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</si>
  <si>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</si>
  <si>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</si>
  <si>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</si>
  <si>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</si>
  <si>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</si>
  <si>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</si>
  <si>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</si>
  <si>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</si>
  <si>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</si>
  <si>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</si>
  <si>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</si>
  <si>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</si>
  <si>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</si>
  <si>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</si>
  <si>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</si>
  <si>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</si>
  <si>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</si>
  <si>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</si>
  <si>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</si>
  <si>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</si>
  <si>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</si>
  <si>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</si>
  <si>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</si>
  <si>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</si>
  <si>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</si>
  <si>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</si>
  <si>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</si>
  <si>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</si>
  <si>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</si>
  <si>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</si>
  <si>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</si>
  <si>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</si>
  <si>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</si>
  <si>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</si>
  <si>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</si>
  <si>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</si>
  <si>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</si>
  <si>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</si>
  <si>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</si>
  <si>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</si>
  <si>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</si>
  <si>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</si>
  <si>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</si>
  <si>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</si>
  <si>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</si>
  <si>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</si>
  <si>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</si>
  <si>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</si>
  <si>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</si>
  <si>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</si>
  <si>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</si>
  <si>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</si>
  <si>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</si>
  <si>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</si>
  <si>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</si>
  <si>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</si>
  <si>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</si>
  <si>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</si>
  <si>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</si>
  <si>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</si>
  <si>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</si>
  <si>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</si>
  <si>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</si>
  <si>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</si>
  <si>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</si>
  <si>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</si>
  <si>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</si>
  <si>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</si>
  <si>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</si>
  <si>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</si>
  <si>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</si>
  <si>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</si>
  <si>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</si>
  <si>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</si>
  <si>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</si>
  <si>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</si>
  <si>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</si>
  <si>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</si>
  <si>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</si>
  <si>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</si>
  <si>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</si>
  <si>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</si>
  <si>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</si>
  <si>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</si>
  <si>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</si>
  <si>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王鹏</t>
  </si>
  <si>
    <t>郑燚</t>
  </si>
  <si>
    <t>河南恒祥实业有限公司</t>
  </si>
  <si>
    <t>河南恒祥实业有限公司</t>
    <phoneticPr fontId="7" type="noConversion"/>
  </si>
  <si>
    <t>中诚信托有限责任公司</t>
    <phoneticPr fontId="7" type="noConversion"/>
  </si>
  <si>
    <t>抵押</t>
  </si>
  <si>
    <t>已注销</t>
  </si>
  <si>
    <t>房地产抵押价值</t>
  </si>
  <si>
    <t>其他：</t>
  </si>
  <si>
    <t>河南省郑州市</t>
    <phoneticPr fontId="7" type="noConversion"/>
  </si>
  <si>
    <t>金水区红旗路北、经七路东</t>
    <phoneticPr fontId="7" type="noConversion"/>
  </si>
  <si>
    <t>企业</t>
  </si>
  <si>
    <t>出让</t>
  </si>
  <si>
    <t>商业</t>
    <phoneticPr fontId="7" type="noConversion"/>
  </si>
  <si>
    <t>《国有土地使用证》[京顺国用（2015出）第00113号]</t>
    <phoneticPr fontId="7" type="noConversion"/>
  </si>
  <si>
    <r>
      <rPr>
        <sz val="12"/>
        <color theme="9" tint="-0.249977111117893"/>
        <rFont val="宋体"/>
        <family val="3"/>
        <charset val="134"/>
      </rPr>
      <t>《测绘报告》</t>
    </r>
    <r>
      <rPr>
        <sz val="12"/>
        <color theme="9" tint="-0.249977111117893"/>
        <rFont val="Arial"/>
        <family val="2"/>
      </rPr>
      <t>[]</t>
    </r>
    <phoneticPr fontId="7" type="noConversion"/>
  </si>
  <si>
    <t>是</t>
  </si>
  <si>
    <t>否</t>
  </si>
  <si>
    <t>《国有土地使用证》</t>
  </si>
  <si>
    <t>复印件</t>
  </si>
  <si>
    <t>居住项目</t>
  </si>
  <si>
    <t>无</t>
  </si>
  <si>
    <t>在建</t>
  </si>
  <si>
    <t>通路</t>
  </si>
  <si>
    <t>通电</t>
  </si>
  <si>
    <t>通上水</t>
  </si>
  <si>
    <t>通下水</t>
  </si>
  <si>
    <t>通讯</t>
  </si>
  <si>
    <t>项目</t>
    <phoneticPr fontId="144" type="noConversion"/>
  </si>
  <si>
    <t>性质</t>
    <phoneticPr fontId="144" type="noConversion"/>
  </si>
  <si>
    <t>土地面积</t>
    <phoneticPr fontId="144" type="noConversion"/>
  </si>
  <si>
    <t>地上建筑面积</t>
    <phoneticPr fontId="144" type="noConversion"/>
  </si>
  <si>
    <t>地下建筑面积</t>
    <phoneticPr fontId="144" type="noConversion"/>
  </si>
  <si>
    <t>土地</t>
    <phoneticPr fontId="144" type="noConversion"/>
  </si>
  <si>
    <t>商品住宅</t>
    <phoneticPr fontId="144" type="noConversion"/>
  </si>
  <si>
    <t>2号楼</t>
    <phoneticPr fontId="144" type="noConversion"/>
  </si>
  <si>
    <t>办公</t>
    <phoneticPr fontId="144" type="noConversion"/>
  </si>
  <si>
    <t>公租房</t>
    <phoneticPr fontId="144" type="noConversion"/>
  </si>
  <si>
    <t>3号楼</t>
  </si>
  <si>
    <t>商业</t>
    <phoneticPr fontId="144" type="noConversion"/>
  </si>
  <si>
    <t>1号楼</t>
    <phoneticPr fontId="144" type="noConversion"/>
  </si>
  <si>
    <t>住宅</t>
    <phoneticPr fontId="144" type="noConversion"/>
  </si>
  <si>
    <t>5号楼</t>
  </si>
  <si>
    <t>车库</t>
    <phoneticPr fontId="144" type="noConversion"/>
  </si>
  <si>
    <t>6号楼</t>
  </si>
  <si>
    <t>其他</t>
    <phoneticPr fontId="144" type="noConversion"/>
  </si>
  <si>
    <t>7号楼</t>
  </si>
  <si>
    <t>安置房</t>
    <phoneticPr fontId="144" type="noConversion"/>
  </si>
  <si>
    <t>9号楼</t>
  </si>
  <si>
    <t>10号楼</t>
  </si>
  <si>
    <t>11号楼</t>
  </si>
  <si>
    <t>12号楼</t>
  </si>
  <si>
    <t>13号楼</t>
  </si>
  <si>
    <t>统计</t>
    <phoneticPr fontId="144" type="noConversion"/>
  </si>
  <si>
    <t>幼儿园</t>
    <phoneticPr fontId="144" type="noConversion"/>
  </si>
  <si>
    <t>地上</t>
    <phoneticPr fontId="144" type="noConversion"/>
  </si>
  <si>
    <t>地下</t>
    <phoneticPr fontId="144" type="noConversion"/>
  </si>
  <si>
    <t>建筑面积</t>
    <phoneticPr fontId="144" type="noConversion"/>
  </si>
  <si>
    <t>楼层</t>
    <phoneticPr fontId="144" type="noConversion"/>
  </si>
  <si>
    <t>地下室</t>
    <phoneticPr fontId="144" type="noConversion"/>
  </si>
  <si>
    <t>车位</t>
    <phoneticPr fontId="144" type="noConversion"/>
  </si>
  <si>
    <t>5518个</t>
    <phoneticPr fontId="144" type="noConversion"/>
  </si>
  <si>
    <t>北区商业</t>
    <phoneticPr fontId="144" type="noConversion"/>
  </si>
  <si>
    <t>4层</t>
    <phoneticPr fontId="144" type="noConversion"/>
  </si>
  <si>
    <t>配套</t>
    <phoneticPr fontId="144" type="noConversion"/>
  </si>
  <si>
    <t>9号楼商业</t>
    <phoneticPr fontId="144" type="noConversion"/>
  </si>
  <si>
    <t>2层</t>
    <phoneticPr fontId="144" type="noConversion"/>
  </si>
  <si>
    <t>分项</t>
    <phoneticPr fontId="144" type="noConversion"/>
  </si>
  <si>
    <r>
      <t>1</t>
    </r>
    <r>
      <rPr>
        <sz val="11"/>
        <color theme="1"/>
        <rFont val="宋体"/>
        <family val="3"/>
        <charset val="134"/>
        <scheme val="minor"/>
      </rPr>
      <t>0号楼商业</t>
    </r>
    <phoneticPr fontId="144" type="noConversion"/>
  </si>
  <si>
    <t>办公用房</t>
    <phoneticPr fontId="144" type="noConversion"/>
  </si>
  <si>
    <t>物业用房</t>
    <phoneticPr fontId="144" type="noConversion"/>
  </si>
  <si>
    <t>地下车库</t>
    <phoneticPr fontId="144" type="noConversion"/>
  </si>
  <si>
    <t>卫生服务站</t>
    <phoneticPr fontId="144" type="noConversion"/>
  </si>
  <si>
    <t>其他设备用房</t>
    <phoneticPr fontId="144" type="noConversion"/>
  </si>
  <si>
    <t>文化活动站</t>
    <phoneticPr fontId="144" type="noConversion"/>
  </si>
  <si>
    <t>社区服务中心</t>
    <phoneticPr fontId="144" type="noConversion"/>
  </si>
  <si>
    <t>居委会</t>
    <phoneticPr fontId="144" type="noConversion"/>
  </si>
  <si>
    <t>便民店</t>
    <phoneticPr fontId="144" type="noConversion"/>
  </si>
  <si>
    <t>储蓄所</t>
    <phoneticPr fontId="144" type="noConversion"/>
  </si>
  <si>
    <t>公厕</t>
    <phoneticPr fontId="144" type="noConversion"/>
  </si>
  <si>
    <t>开闭所</t>
    <phoneticPr fontId="144" type="noConversion"/>
  </si>
  <si>
    <t>消防控制室</t>
    <phoneticPr fontId="144" type="noConversion"/>
  </si>
  <si>
    <t>垃圾站</t>
    <phoneticPr fontId="144" type="noConversion"/>
  </si>
  <si>
    <t>非机动车</t>
    <phoneticPr fontId="144" type="noConversion"/>
  </si>
  <si>
    <t>地库辅助用房</t>
    <phoneticPr fontId="144" type="noConversion"/>
  </si>
  <si>
    <t>地下物业用房</t>
    <phoneticPr fontId="144" type="noConversion"/>
  </si>
  <si>
    <t>热交换站</t>
    <phoneticPr fontId="144" type="noConversion"/>
  </si>
  <si>
    <t>地下设备用房</t>
    <phoneticPr fontId="144" type="noConversion"/>
  </si>
  <si>
    <t>预测报告面积</t>
    <phoneticPr fontId="144" type="noConversion"/>
  </si>
  <si>
    <t>面积说明</t>
    <phoneticPr fontId="144" type="noConversion"/>
  </si>
  <si>
    <t>地上住宅、底商及办公面积从预测报告里</t>
    <phoneticPr fontId="144" type="noConversion"/>
  </si>
  <si>
    <t>地下面积及商场按照建工规证</t>
    <phoneticPr fontId="144" type="noConversion"/>
  </si>
  <si>
    <t>2号楼</t>
    <phoneticPr fontId="144" type="noConversion"/>
  </si>
  <si>
    <t>办公</t>
    <phoneticPr fontId="144" type="noConversion"/>
  </si>
  <si>
    <t>1号楼</t>
    <phoneticPr fontId="144" type="noConversion"/>
  </si>
  <si>
    <t>住宅</t>
    <phoneticPr fontId="144" type="noConversion"/>
  </si>
  <si>
    <t>公租房</t>
    <phoneticPr fontId="144" type="noConversion"/>
  </si>
  <si>
    <t>幼儿园</t>
    <phoneticPr fontId="144" type="noConversion"/>
  </si>
  <si>
    <t>办公合计</t>
    <phoneticPr fontId="144" type="noConversion"/>
  </si>
  <si>
    <t>住宅合计</t>
    <phoneticPr fontId="144" type="noConversion"/>
  </si>
  <si>
    <t>安置房</t>
    <phoneticPr fontId="144" type="noConversion"/>
  </si>
  <si>
    <t>商品住宅</t>
    <phoneticPr fontId="144" type="noConversion"/>
  </si>
  <si>
    <t>底商</t>
    <phoneticPr fontId="144" type="noConversion"/>
  </si>
  <si>
    <t>商场</t>
    <phoneticPr fontId="144" type="noConversion"/>
  </si>
  <si>
    <t>统计汇总</t>
    <phoneticPr fontId="144" type="noConversion"/>
  </si>
  <si>
    <t>安置面积说明</t>
    <phoneticPr fontId="144" type="noConversion"/>
  </si>
  <si>
    <t>地上</t>
    <phoneticPr fontId="144" type="noConversion"/>
  </si>
  <si>
    <t>地下</t>
    <phoneticPr fontId="144" type="noConversion"/>
  </si>
  <si>
    <t>安置住宅</t>
    <phoneticPr fontId="144" type="noConversion"/>
  </si>
  <si>
    <t>安置办公面积</t>
    <phoneticPr fontId="144" type="noConversion"/>
  </si>
  <si>
    <t>安置村集体办公</t>
    <phoneticPr fontId="144" type="noConversion"/>
  </si>
  <si>
    <t>公共配套</t>
    <phoneticPr fontId="144" type="noConversion"/>
  </si>
  <si>
    <t>合计</t>
    <phoneticPr fontId="144" type="noConversion"/>
  </si>
  <si>
    <t>底商</t>
    <phoneticPr fontId="144" type="noConversion"/>
  </si>
  <si>
    <t>商场</t>
    <phoneticPr fontId="144" type="noConversion"/>
  </si>
  <si>
    <t>地下车库</t>
    <phoneticPr fontId="144" type="noConversion"/>
  </si>
  <si>
    <t>公共配套</t>
    <phoneticPr fontId="144" type="noConversion"/>
  </si>
  <si>
    <t>设备用房</t>
    <phoneticPr fontId="144" type="noConversion"/>
  </si>
  <si>
    <t>合计</t>
    <phoneticPr fontId="144" type="noConversion"/>
  </si>
  <si>
    <t>企业提供的抵押物清单</t>
    <phoneticPr fontId="144" type="noConversion"/>
  </si>
  <si>
    <t>2号楼</t>
    <phoneticPr fontId="144" type="noConversion"/>
  </si>
  <si>
    <t>3号楼</t>
    <phoneticPr fontId="144" type="noConversion"/>
  </si>
  <si>
    <t>5号楼</t>
    <phoneticPr fontId="144" type="noConversion"/>
  </si>
  <si>
    <t>6号楼</t>
    <phoneticPr fontId="144" type="noConversion"/>
  </si>
  <si>
    <t>9号楼</t>
    <phoneticPr fontId="144" type="noConversion"/>
  </si>
  <si>
    <t>10号楼</t>
    <phoneticPr fontId="144" type="noConversion"/>
  </si>
  <si>
    <t>11号楼</t>
    <phoneticPr fontId="144" type="noConversion"/>
  </si>
  <si>
    <t>商品住宅</t>
    <phoneticPr fontId="144" type="noConversion"/>
  </si>
  <si>
    <t>住宅安置房</t>
    <phoneticPr fontId="144" type="noConversion"/>
  </si>
  <si>
    <t>商品公寓</t>
    <phoneticPr fontId="144" type="noConversion"/>
  </si>
  <si>
    <t>安置办公</t>
    <phoneticPr fontId="144" type="noConversion"/>
  </si>
  <si>
    <t>底商</t>
    <phoneticPr fontId="144" type="noConversion"/>
  </si>
  <si>
    <t>公寓</t>
  </si>
  <si>
    <t>公寓</t>
    <phoneticPr fontId="4" type="noConversion"/>
  </si>
  <si>
    <t>地上</t>
  </si>
  <si>
    <t>2号楼抵押设立位置楼盘表（预售许可证：2017郑房预字第4163号）</t>
    <phoneticPr fontId="144" type="noConversion"/>
  </si>
  <si>
    <t>座落位置：金水区红旗路北、经七路东</t>
  </si>
  <si>
    <t>恒祥百悦城一号院</t>
  </si>
  <si>
    <t>方位</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</si>
  <si>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</si>
  <si>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</si>
  <si>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</si>
  <si>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</si>
  <si>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</si>
  <si>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</si>
  <si>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</si>
  <si>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</si>
  <si>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</si>
  <si>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</si>
  <si>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</si>
  <si>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</si>
  <si>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</si>
  <si>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</si>
  <si>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</si>
  <si>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</si>
  <si>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</si>
  <si>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</si>
  <si>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</si>
  <si>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</si>
  <si>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</si>
  <si>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</si>
  <si>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</si>
  <si>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</si>
  <si>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</si>
  <si>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</si>
  <si>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</si>
  <si>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</si>
  <si>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</si>
  <si>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</si>
  <si>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</si>
  <si>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</si>
  <si>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</si>
  <si>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</si>
  <si>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</si>
  <si>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</si>
  <si>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</si>
  <si>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户型</t>
  </si>
  <si>
    <t>面积（㎡）</t>
  </si>
  <si>
    <t>25层</t>
  </si>
  <si>
    <t>24层</t>
  </si>
  <si>
    <t>23层</t>
  </si>
  <si>
    <t>22层</t>
  </si>
  <si>
    <t>21层</t>
  </si>
  <si>
    <t>20层</t>
  </si>
  <si>
    <t>19层</t>
  </si>
  <si>
    <t>18层</t>
  </si>
  <si>
    <t>17层</t>
  </si>
  <si>
    <t>16层</t>
  </si>
  <si>
    <t>15层</t>
  </si>
  <si>
    <t>14层</t>
  </si>
  <si>
    <t>13层</t>
  </si>
  <si>
    <t>12层</t>
  </si>
  <si>
    <t>11层</t>
  </si>
  <si>
    <t>10层</t>
  </si>
  <si>
    <t>9层</t>
  </si>
  <si>
    <t>8层</t>
  </si>
  <si>
    <t>7层</t>
  </si>
  <si>
    <t>6层</t>
  </si>
  <si>
    <t>5层</t>
  </si>
  <si>
    <t>开发商：河南恒祥实业有限公司</t>
    <phoneticPr fontId="144" type="noConversion"/>
  </si>
  <si>
    <t>3号楼抵押设立位置楼盘表（预售许可证：2017郑房预字第4163号）</t>
    <phoneticPr fontId="144" type="noConversion"/>
  </si>
  <si>
    <t>30层</t>
  </si>
  <si>
    <t>29层</t>
  </si>
  <si>
    <t>28层</t>
  </si>
  <si>
    <t>27层</t>
  </si>
  <si>
    <t>26层</t>
  </si>
  <si>
    <t>开发商：河南恒祥实业有限公司</t>
  </si>
  <si>
    <t>面积汇总</t>
    <phoneticPr fontId="144" type="noConversion"/>
  </si>
  <si>
    <t>共910套，56546.37平方米，阴影部分为楼盘表抵押部分，办公315套，面积19582.83平方米。</t>
    <phoneticPr fontId="144" type="noConversion"/>
  </si>
  <si>
    <t>共计742套，61354.65 平方米 ; 1-25层局部为工具间面积1031.61已计入总建筑面积。1-4层商业计入裙房面积。阴影部分为楼盘表抵押部分，办公325套，面积25303.51平方米。</t>
    <phoneticPr fontId="144" type="noConversion"/>
  </si>
  <si>
    <t>2号楼</t>
    <phoneticPr fontId="144" type="noConversion"/>
  </si>
  <si>
    <t>3号楼</t>
    <phoneticPr fontId="144" type="noConversion"/>
  </si>
  <si>
    <t>总计</t>
    <phoneticPr fontId="144" type="noConversion"/>
  </si>
  <si>
    <t>抵押范围外</t>
    <phoneticPr fontId="4" type="noConversion"/>
  </si>
  <si>
    <t>住宅</t>
  </si>
  <si>
    <t>平层住宅</t>
  </si>
  <si>
    <t>底商</t>
  </si>
  <si>
    <t>独立商业</t>
  </si>
  <si>
    <t>比较法-公寓</t>
  </si>
  <si>
    <t>正常</t>
  </si>
  <si>
    <t>商住</t>
  </si>
  <si>
    <t>30-40（含）</t>
  </si>
  <si>
    <t>较好</t>
  </si>
  <si>
    <t>七通</t>
  </si>
  <si>
    <t>一般</t>
  </si>
  <si>
    <t>主</t>
  </si>
  <si>
    <t>高板</t>
  </si>
  <si>
    <t>钢混</t>
  </si>
  <si>
    <t>中档</t>
  </si>
  <si>
    <t>普通装修</t>
  </si>
  <si>
    <t>专业</t>
  </si>
  <si>
    <t>平层</t>
  </si>
  <si>
    <t>毛坯</t>
  </si>
  <si>
    <t>商住</t>
    <phoneticPr fontId="26" type="noConversion"/>
  </si>
  <si>
    <t>好</t>
  </si>
  <si>
    <t>道路级别</t>
    <phoneticPr fontId="4" type="noConversion"/>
  </si>
  <si>
    <t>主</t>
    <phoneticPr fontId="26" type="noConversion"/>
  </si>
  <si>
    <t>高速</t>
  </si>
  <si>
    <t>快速</t>
  </si>
  <si>
    <t>次</t>
  </si>
  <si>
    <t>支路</t>
  </si>
  <si>
    <t>联排</t>
  </si>
  <si>
    <t>砖混</t>
  </si>
  <si>
    <t>高档</t>
  </si>
  <si>
    <t>精装修</t>
  </si>
  <si>
    <t>简装</t>
  </si>
  <si>
    <t>普通</t>
  </si>
  <si>
    <t>六通</t>
  </si>
  <si>
    <t>五通</t>
  </si>
  <si>
    <t>四通</t>
  </si>
  <si>
    <t>三通</t>
  </si>
  <si>
    <t>LOFT</t>
  </si>
  <si>
    <t>40</t>
  </si>
  <si>
    <t>单面临街</t>
  </si>
  <si>
    <t>次干道</t>
  </si>
  <si>
    <t>较规则</t>
  </si>
  <si>
    <t>六通一平</t>
  </si>
  <si>
    <t>双面临街</t>
  </si>
  <si>
    <t>主干道</t>
  </si>
  <si>
    <t>五通一平</t>
  </si>
  <si>
    <t>七通一平</t>
  </si>
  <si>
    <t>郑政出[2017]2号（网）</t>
    <phoneticPr fontId="4" type="noConversion"/>
  </si>
  <si>
    <t>郑政出（2016）249号</t>
    <phoneticPr fontId="4" type="noConversion"/>
  </si>
  <si>
    <t>郑政出[2016]57号（网）</t>
    <phoneticPr fontId="4" type="noConversion"/>
  </si>
  <si>
    <t>惠济区北环路南、丰华路西</t>
    <phoneticPr fontId="4" type="noConversion"/>
  </si>
  <si>
    <t>金水区电南路南、花园路东</t>
    <phoneticPr fontId="4" type="noConversion"/>
  </si>
  <si>
    <t>二七区新兴路南、假日东路西</t>
    <phoneticPr fontId="4" type="noConversion"/>
  </si>
  <si>
    <t>商业</t>
    <phoneticPr fontId="32" type="noConversion"/>
  </si>
  <si>
    <t>无</t>
    <phoneticPr fontId="32" type="noConversion"/>
  </si>
  <si>
    <t>有</t>
    <phoneticPr fontId="32" type="noConversion"/>
  </si>
  <si>
    <t>有</t>
    <phoneticPr fontId="32" type="noConversion"/>
  </si>
  <si>
    <t>无</t>
    <phoneticPr fontId="32" type="noConversion"/>
  </si>
  <si>
    <t>快速路</t>
    <phoneticPr fontId="4" type="noConversion"/>
  </si>
  <si>
    <t>主干道</t>
    <phoneticPr fontId="4" type="noConversion"/>
  </si>
  <si>
    <t>次干道</t>
    <phoneticPr fontId="4" type="noConversion"/>
  </si>
  <si>
    <t>支路</t>
    <phoneticPr fontId="4" type="noConversion"/>
  </si>
  <si>
    <t>高速路</t>
    <phoneticPr fontId="32" type="noConversion"/>
  </si>
  <si>
    <t>规则</t>
  </si>
  <si>
    <t>较不规则</t>
  </si>
  <si>
    <t>不规则</t>
  </si>
  <si>
    <t>比例适宜</t>
  </si>
  <si>
    <t>比例较适宜</t>
  </si>
  <si>
    <t>四通一平</t>
  </si>
  <si>
    <t>三通一平</t>
  </si>
  <si>
    <t>较差</t>
  </si>
  <si>
    <t>差</t>
  </si>
  <si>
    <t>比例较不适宜</t>
    <phoneticPr fontId="32" type="noConversion"/>
  </si>
  <si>
    <t>比例不适宜</t>
    <phoneticPr fontId="32" type="noConversion"/>
  </si>
  <si>
    <t>未包含在土地购买价格中</t>
  </si>
  <si>
    <t>全部缴纳</t>
  </si>
  <si>
    <t>已包含在土地取得成本中</t>
  </si>
  <si>
    <t>成本法</t>
  </si>
  <si>
    <t>假设开发法</t>
  </si>
  <si>
    <t>项目局部</t>
  </si>
  <si>
    <t>成本比率</t>
  </si>
  <si>
    <t>拖欠工程款分配</t>
  </si>
  <si>
    <t>分配比例</t>
  </si>
  <si>
    <t>剩余抵押面积</t>
  </si>
  <si>
    <t>河南恒祥实业有限公司土地出让金返还明细表</t>
    <phoneticPr fontId="4" type="noConversion"/>
  </si>
  <si>
    <t>单位：元</t>
    <phoneticPr fontId="4" type="noConversion"/>
  </si>
  <si>
    <t>序号</t>
    <phoneticPr fontId="4" type="noConversion"/>
  </si>
  <si>
    <t>收款日期</t>
    <phoneticPr fontId="4" type="noConversion"/>
  </si>
  <si>
    <t>摘要</t>
    <phoneticPr fontId="4" type="noConversion"/>
  </si>
  <si>
    <t>本次收款金额</t>
    <phoneticPr fontId="4" type="noConversion"/>
  </si>
  <si>
    <t>2016.5.31</t>
    <phoneticPr fontId="4" type="noConversion"/>
  </si>
  <si>
    <t>收到土地出让金返还</t>
    <phoneticPr fontId="4" type="noConversion"/>
  </si>
  <si>
    <t>2016.9.30</t>
    <phoneticPr fontId="4" type="noConversion"/>
  </si>
  <si>
    <t>合计</t>
    <phoneticPr fontId="4" type="noConversion"/>
  </si>
  <si>
    <t>河南恒祥实业有限公司截止目前已经投入成本表</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</si>
  <si>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</si>
  <si>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</si>
  <si>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</si>
  <si>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</si>
  <si>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r>
      <t>201</t>
    </r>
    <r>
      <rPr>
        <sz val="11"/>
        <color theme="1"/>
        <rFont val="宋体"/>
        <family val="3"/>
        <charset val="134"/>
        <scheme val="minor"/>
      </rPr>
      <t>8</t>
    </r>
    <r>
      <rPr>
        <sz val="11"/>
        <color theme="1"/>
        <rFont val="宋体"/>
        <family val="3"/>
        <charset val="134"/>
        <scheme val="minor"/>
      </rPr>
      <t>.05.31</t>
    </r>
    <phoneticPr fontId="4" type="noConversion"/>
  </si>
  <si>
    <t>其他补偿支出</t>
    <phoneticPr fontId="4" type="noConversion"/>
  </si>
  <si>
    <r>
      <t>201</t>
    </r>
    <r>
      <rPr>
        <sz val="11"/>
        <color theme="1"/>
        <rFont val="宋体"/>
        <family val="3"/>
        <charset val="134"/>
        <scheme val="minor"/>
      </rPr>
      <t>8</t>
    </r>
    <r>
      <rPr>
        <sz val="11"/>
        <color theme="1"/>
        <rFont val="宋体"/>
        <family val="3"/>
        <charset val="134"/>
        <scheme val="minor"/>
      </rPr>
      <t>.05.31</t>
    </r>
    <phoneticPr fontId="4" type="noConversion"/>
  </si>
  <si>
    <t>支付郑州市国土资源局土地出让金</t>
  </si>
  <si>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</si>
  <si>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支付土地出让金契税和配套费契税</t>
  </si>
  <si>
    <t>城市基础设施配套费</t>
    <phoneticPr fontId="4" type="noConversion"/>
  </si>
  <si>
    <t>工程款</t>
    <phoneticPr fontId="4" type="noConversion"/>
  </si>
  <si>
    <t>预付款项</t>
  </si>
  <si>
    <t>财务费用</t>
    <phoneticPr fontId="4" type="noConversion"/>
  </si>
  <si>
    <t>业务招待费</t>
    <phoneticPr fontId="4" type="noConversion"/>
  </si>
  <si>
    <t>工资费用</t>
    <phoneticPr fontId="4" type="noConversion"/>
  </si>
  <si>
    <t>其他费用支出</t>
    <phoneticPr fontId="4" type="noConversion"/>
  </si>
  <si>
    <t>合计</t>
    <phoneticPr fontId="4" type="noConversion"/>
  </si>
  <si>
    <t>情况3</t>
  </si>
  <si>
    <t>仅含出让金</t>
  </si>
  <si>
    <t>分摊土地面积</t>
  </si>
  <si>
    <t>规划建筑面积</t>
  </si>
  <si>
    <t>无偿移交村委会住宅</t>
    <phoneticPr fontId="9" type="noConversion"/>
  </si>
  <si>
    <r>
      <rPr>
        <sz val="10"/>
        <color indexed="8"/>
        <rFont val="宋体"/>
        <family val="3"/>
        <charset val="134"/>
      </rPr>
      <t>本次抵押范围</t>
    </r>
    <r>
      <rPr>
        <sz val="10"/>
        <color indexed="8"/>
        <rFont val="Arial"/>
        <family val="2"/>
      </rPr>
      <t>(</t>
    </r>
    <r>
      <rPr>
        <sz val="10"/>
        <color indexed="8"/>
        <rFont val="宋体"/>
        <family val="3"/>
        <charset val="134"/>
      </rPr>
      <t>含分摊</t>
    </r>
    <r>
      <rPr>
        <sz val="10"/>
        <color indexed="8"/>
        <rFont val="Arial"/>
        <family val="2"/>
      </rPr>
      <t>)</t>
    </r>
    <phoneticPr fontId="9" type="noConversion"/>
  </si>
  <si>
    <t>本次评估分摊无偿移交</t>
    <phoneticPr fontId="9" type="noConversion"/>
  </si>
  <si>
    <t>可售住宅面积合计</t>
    <phoneticPr fontId="9" type="noConversion"/>
  </si>
  <si>
    <t>同一抵押权人同一抵押物续贷</t>
  </si>
  <si>
    <t>序号</t>
    <phoneticPr fontId="144" type="noConversion"/>
  </si>
  <si>
    <t>坐落</t>
    <phoneticPr fontId="144" type="noConversion"/>
  </si>
  <si>
    <t>位置</t>
    <phoneticPr fontId="144" type="noConversion"/>
  </si>
  <si>
    <t>面积</t>
    <phoneticPr fontId="144" type="noConversion"/>
  </si>
  <si>
    <t>用途</t>
    <phoneticPr fontId="144" type="noConversion"/>
  </si>
  <si>
    <t>座落位置：金水区红旗路北、经七路东</t>
    <phoneticPr fontId="144" type="noConversion"/>
  </si>
  <si>
    <t>金水区红旗路北、经七路东</t>
  </si>
  <si>
    <t>楼号</t>
    <phoneticPr fontId="144" type="noConversion"/>
  </si>
  <si>
    <t>2号楼</t>
  </si>
  <si>
    <t>2号楼</t>
    <phoneticPr fontId="144" type="noConversion"/>
  </si>
  <si>
    <t>商业（公寓）</t>
    <phoneticPr fontId="144" type="noConversion"/>
  </si>
  <si>
    <t>3号楼</t>
    <phoneticPr fontId="144" type="noConversion"/>
  </si>
  <si>
    <t>合计</t>
    <phoneticPr fontId="144" type="noConversion"/>
  </si>
  <si>
    <t>国宾中心喜堂</t>
    <phoneticPr fontId="4" type="noConversion"/>
  </si>
  <si>
    <t>快速</t>
    <phoneticPr fontId="26" type="noConversion"/>
  </si>
  <si>
    <t>江泰天宇国际</t>
    <phoneticPr fontId="4" type="noConversion"/>
  </si>
  <si>
    <t>清华城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</si>
</sst>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9" tint="-0.249977111117893"/>
      <name val="仿宋_GB2312"/>
      <family val="3"/>
      <charset val="134"/>
    </font>
    <font>
      <b/>
      <sz val="12"/>
      <name val="楷体"/>
      <family val="3"/>
      <charset val="134"/>
    </font>
    <font>
      <sz val="12"/>
      <name val="楷体"/>
      <family val="3"/>
      <charset val="134"/>
    </font>
    <font>
      <sz val="12"/>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medium">
        <color indexed="64"/>
      </top>
      <bottom style="thin">
        <color indexed="64"/>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7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91" fillId="7" borderId="151"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00" fillId="0" borderId="1" xfId="10" applyFont="1" applyBorder="1">
      <alignment vertical="center"/>
    </xf>
    <xf numFmtId="0" fontId="100" fillId="0" borderId="1" xfId="10" applyBorder="1">
      <alignment vertical="center"/>
    </xf>
    <xf numFmtId="0" fontId="100" fillId="0" borderId="0" xfId="10">
      <alignment vertical="center"/>
    </xf>
    <xf numFmtId="0" fontId="100" fillId="0" borderId="0" xfId="10" applyFont="1">
      <alignment vertical="center"/>
    </xf>
    <xf numFmtId="0" fontId="100" fillId="0" borderId="0" xfId="10" applyFont="1" applyFill="1" applyBorder="1">
      <alignment vertical="center"/>
    </xf>
    <xf numFmtId="0" fontId="100" fillId="17" borderId="0" xfId="10" applyFill="1">
      <alignment vertical="center"/>
    </xf>
    <xf numFmtId="0" fontId="100" fillId="0" borderId="1" xfId="10" applyFont="1" applyBorder="1" applyAlignment="1">
      <alignment horizontal="center" vertical="center"/>
    </xf>
    <xf numFmtId="0" fontId="100" fillId="0" borderId="1" xfId="10" applyBorder="1" applyAlignment="1">
      <alignment horizontal="center" vertical="center"/>
    </xf>
    <xf numFmtId="0" fontId="100" fillId="18" borderId="1" xfId="10" applyFill="1" applyBorder="1">
      <alignment vertical="center"/>
    </xf>
    <xf numFmtId="0" fontId="100" fillId="5" borderId="0" xfId="10" applyFont="1" applyFill="1">
      <alignment vertical="center"/>
    </xf>
    <xf numFmtId="0" fontId="101" fillId="17" borderId="1" xfId="10" applyFont="1" applyFill="1" applyBorder="1">
      <alignment vertical="center"/>
    </xf>
    <xf numFmtId="0" fontId="100" fillId="0" borderId="1" xfId="10" applyFill="1" applyBorder="1">
      <alignment vertical="center"/>
    </xf>
    <xf numFmtId="0" fontId="100" fillId="9" borderId="0" xfId="10" applyFill="1">
      <alignment vertical="center"/>
    </xf>
    <xf numFmtId="0" fontId="100" fillId="0" borderId="1" xfId="10" applyFont="1" applyFill="1" applyBorder="1" applyAlignment="1">
      <alignment horizontal="center" vertical="center"/>
    </xf>
    <xf numFmtId="0" fontId="100" fillId="5" borderId="1" xfId="10" applyFont="1" applyFill="1" applyBorder="1">
      <alignment vertical="center"/>
    </xf>
    <xf numFmtId="0" fontId="100" fillId="5" borderId="1" xfId="10" applyFill="1" applyBorder="1">
      <alignment vertical="center"/>
    </xf>
    <xf numFmtId="0" fontId="100" fillId="0" borderId="0" xfId="10" applyFont="1" applyFill="1" applyBorder="1" applyAlignment="1">
      <alignment horizontal="center" vertical="center"/>
    </xf>
    <xf numFmtId="0" fontId="100" fillId="0" borderId="0" xfId="10" applyBorder="1" applyAlignment="1">
      <alignment horizontal="center" vertical="center"/>
    </xf>
    <xf numFmtId="0" fontId="81" fillId="0" borderId="1" xfId="0" applyFont="1" applyBorder="1" applyAlignment="1" applyProtection="1">
      <alignment horizontal="center" vertical="center" wrapText="1"/>
      <protection locked="0"/>
    </xf>
    <xf numFmtId="0" fontId="101" fillId="0" borderId="0" xfId="0" applyFont="1">
      <alignment vertical="center"/>
    </xf>
    <xf numFmtId="0" fontId="114" fillId="0" borderId="1" xfId="0" applyFont="1" applyBorder="1" applyAlignment="1">
      <alignment horizontal="center" vertical="center"/>
    </xf>
    <xf numFmtId="0" fontId="114" fillId="19" borderId="1" xfId="0" applyFont="1" applyFill="1" applyBorder="1" applyAlignment="1">
      <alignment horizontal="center" vertical="center"/>
    </xf>
    <xf numFmtId="0" fontId="114" fillId="7" borderId="1" xfId="0" applyFont="1" applyFill="1" applyBorder="1"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0" fillId="19" borderId="1" xfId="0" applyFill="1" applyBorder="1" applyAlignment="1">
      <alignment horizontal="center" vertical="center"/>
    </xf>
    <xf numFmtId="0" fontId="0" fillId="7" borderId="1" xfId="0" applyFill="1" applyBorder="1" applyAlignment="1">
      <alignment horizontal="center" vertical="center"/>
    </xf>
    <xf numFmtId="0" fontId="125" fillId="0" borderId="0" xfId="0" applyFont="1">
      <alignment vertical="center"/>
    </xf>
    <xf numFmtId="0" fontId="157" fillId="0" borderId="0" xfId="0" applyFont="1">
      <alignment vertical="center"/>
    </xf>
    <xf numFmtId="0" fontId="100" fillId="0" borderId="0" xfId="0" applyFont="1">
      <alignment vertical="center"/>
    </xf>
    <xf numFmtId="0" fontId="81" fillId="0" borderId="1" xfId="0" applyFont="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0" fontId="23"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81" fontId="51" fillId="7" borderId="0" xfId="0" applyNumberFormat="1" applyFont="1" applyFill="1" applyProtection="1">
      <alignment vertical="center"/>
      <protection locked="0"/>
    </xf>
    <xf numFmtId="9" fontId="51" fillId="0" borderId="1" xfId="0" applyNumberFormat="1" applyFont="1" applyBorder="1" applyProtection="1">
      <alignment vertical="center"/>
      <protection locked="0"/>
    </xf>
    <xf numFmtId="0" fontId="12" fillId="7" borderId="0" xfId="0" applyFont="1" applyFill="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7" fillId="0" borderId="16" xfId="0" applyFont="1" applyBorder="1" applyAlignment="1" applyProtection="1">
      <alignment horizontal="center" vertical="center"/>
      <protection locked="0"/>
    </xf>
    <xf numFmtId="192" fontId="257" fillId="0" borderId="156" xfId="0" applyNumberFormat="1" applyFont="1" applyBorder="1" applyAlignment="1" applyProtection="1">
      <alignment horizontal="center" vertical="center"/>
      <protection locked="0"/>
    </xf>
    <xf numFmtId="0" fontId="257" fillId="0" borderId="1" xfId="0" applyFont="1" applyBorder="1" applyAlignment="1" applyProtection="1">
      <alignment horizontal="center" vertical="center"/>
      <protection locked="0"/>
    </xf>
    <xf numFmtId="0" fontId="257" fillId="0" borderId="10" xfId="0" applyFont="1" applyBorder="1" applyAlignment="1" applyProtection="1">
      <alignment horizontal="center" vertical="center"/>
      <protection locked="0"/>
    </xf>
    <xf numFmtId="0" fontId="258"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7"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7" fontId="0" fillId="0" borderId="1" xfId="0" applyNumberFormat="1" applyBorder="1" applyAlignment="1" applyProtection="1">
      <alignment horizontal="center" vertical="center"/>
      <protection locked="0"/>
    </xf>
    <xf numFmtId="0" fontId="103" fillId="7" borderId="0" xfId="0" applyFont="1" applyFill="1" applyProtection="1">
      <alignment vertical="center"/>
      <protection locked="0"/>
    </xf>
    <xf numFmtId="0" fontId="0" fillId="0" borderId="1" xfId="0" applyBorder="1" applyAlignment="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7" fontId="0" fillId="0" borderId="0" xfId="0" applyNumberFormat="1" applyFont="1" applyAlignment="1" applyProtection="1">
      <alignment horizontal="right" vertical="center"/>
      <protection locked="0"/>
    </xf>
    <xf numFmtId="176" fontId="100" fillId="0" borderId="1" xfId="0" applyNumberFormat="1" applyFont="1" applyBorder="1" applyAlignment="1" applyProtection="1">
      <alignment horizontal="center" vertical="center"/>
      <protection locked="0"/>
    </xf>
    <xf numFmtId="198"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7" fontId="0" fillId="0" borderId="1" xfId="0" applyNumberFormat="1" applyFont="1" applyBorder="1" applyAlignment="1" applyProtection="1">
      <alignment horizontal="right" vertical="center"/>
      <protection locked="0"/>
    </xf>
    <xf numFmtId="176" fontId="259"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0" fontId="62" fillId="5" borderId="48" xfId="0" applyNumberFormat="1" applyFont="1" applyFill="1" applyBorder="1" applyAlignment="1" applyProtection="1">
      <alignment horizontal="center" vertical="center" wrapText="1"/>
      <protection locked="0"/>
    </xf>
    <xf numFmtId="0" fontId="62" fillId="5" borderId="48" xfId="0" applyNumberFormat="1" applyFont="1" applyFill="1" applyBorder="1" applyAlignment="1" applyProtection="1">
      <alignment horizontal="center" vertical="center" wrapText="1"/>
    </xf>
    <xf numFmtId="0" fontId="62" fillId="5" borderId="72"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121" fillId="7" borderId="0" xfId="0" applyFont="1" applyFill="1" applyProtection="1">
      <alignment vertical="center"/>
      <protection locked="0"/>
    </xf>
    <xf numFmtId="0" fontId="55" fillId="8" borderId="7" xfId="0" applyNumberFormat="1" applyFont="1" applyFill="1" applyBorder="1" applyAlignment="1" applyProtection="1">
      <alignment horizontal="center" vertical="center" wrapText="1"/>
      <protection locked="0"/>
    </xf>
    <xf numFmtId="0" fontId="48" fillId="8" borderId="46" xfId="0" applyFont="1" applyFill="1" applyBorder="1" applyAlignment="1" applyProtection="1">
      <alignment horizontal="center" vertical="center" wrapText="1"/>
      <protection locked="0"/>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1" fillId="8" borderId="5" xfId="10" applyFont="1" applyFill="1" applyBorder="1" applyAlignment="1">
      <alignment horizontal="center" vertical="center"/>
    </xf>
    <xf numFmtId="0" fontId="101" fillId="8" borderId="54" xfId="10" applyFont="1" applyFill="1" applyBorder="1" applyAlignment="1">
      <alignment horizontal="center" vertical="center"/>
    </xf>
    <xf numFmtId="0" fontId="101" fillId="8" borderId="3" xfId="10" applyFont="1" applyFill="1" applyBorder="1" applyAlignment="1">
      <alignment horizontal="center" vertical="center"/>
    </xf>
    <xf numFmtId="0" fontId="125" fillId="0" borderId="36" xfId="0" applyFont="1" applyBorder="1" applyAlignment="1">
      <alignment horizontal="left" vertical="center"/>
    </xf>
    <xf numFmtId="31" fontId="125" fillId="0" borderId="0" xfId="0" applyNumberFormat="1" applyFont="1" applyAlignment="1">
      <alignment horizontal="center" vertical="center"/>
    </xf>
    <xf numFmtId="0" fontId="125" fillId="0" borderId="0" xfId="0" applyFont="1" applyAlignment="1">
      <alignment horizontal="center" vertical="center"/>
    </xf>
    <xf numFmtId="0" fontId="101" fillId="0" borderId="0" xfId="0" applyFont="1" applyAlignment="1">
      <alignment horizontal="left" vertical="center"/>
    </xf>
    <xf numFmtId="0" fontId="101" fillId="0" borderId="0" xfId="0" applyFont="1" applyAlignment="1">
      <alignment horizontal="center" vertical="center"/>
    </xf>
    <xf numFmtId="31" fontId="101" fillId="0" borderId="0" xfId="0" applyNumberFormat="1" applyFont="1" applyAlignment="1">
      <alignment horizontal="center" vertical="center"/>
    </xf>
    <xf numFmtId="0" fontId="129" fillId="0" borderId="0" xfId="0" applyFont="1" applyAlignment="1">
      <alignment horizontal="center" vertical="center"/>
    </xf>
    <xf numFmtId="0" fontId="101" fillId="0" borderId="60" xfId="0" applyFont="1" applyBorder="1" applyAlignment="1">
      <alignment horizontal="center" vertical="center"/>
    </xf>
    <xf numFmtId="0" fontId="114" fillId="7" borderId="1" xfId="0" applyFont="1" applyFill="1" applyBorder="1" applyAlignment="1">
      <alignment horizontal="center" vertical="center"/>
    </xf>
    <xf numFmtId="0" fontId="211" fillId="0" borderId="0" xfId="0" applyFont="1" applyAlignment="1">
      <alignment horizontal="center" vertical="center"/>
    </xf>
    <xf numFmtId="0" fontId="0" fillId="0" borderId="60" xfId="0" applyBorder="1" applyAlignment="1">
      <alignment horizontal="left" vertical="center"/>
    </xf>
    <xf numFmtId="0" fontId="114" fillId="0" borderId="1" xfId="0"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68"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176" fontId="68" fillId="0" borderId="0" xfId="0" applyNumberFormat="1" applyFont="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179" fillId="0" borderId="49"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255" fillId="0" borderId="23" xfId="0" applyFont="1" applyFill="1" applyBorder="1" applyAlignment="1" applyProtection="1">
      <alignment horizontal="center" vertical="center" wrapText="1"/>
      <protection locked="0"/>
    </xf>
    <xf numFmtId="0" fontId="255" fillId="0" borderId="24"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55" fillId="0" borderId="3"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37</xdr:col>
      <xdr:colOff>19050</xdr:colOff>
      <xdr:row>17</xdr:row>
      <xdr:rowOff>9525</xdr:rowOff>
    </xdr:from>
    <xdr:to>
      <xdr:col>38</xdr:col>
      <xdr:colOff>9525</xdr:colOff>
      <xdr:row>19</xdr:row>
      <xdr:rowOff>0</xdr:rowOff>
    </xdr:to>
    <xdr:cxnSp macro="">
      <xdr:nvCxnSpPr>
        <xdr:cNvPr id="2" name="直接连接符 1"/>
        <xdr:cNvCxnSpPr/>
      </xdr:nvCxnSpPr>
      <xdr:spPr>
        <a:xfrm>
          <a:off x="15554325" y="4229100"/>
          <a:ext cx="457200" cy="51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9525</xdr:colOff>
      <xdr:row>35</xdr:row>
      <xdr:rowOff>9525</xdr:rowOff>
    </xdr:from>
    <xdr:to>
      <xdr:col>37</xdr:col>
      <xdr:colOff>457200</xdr:colOff>
      <xdr:row>36</xdr:row>
      <xdr:rowOff>238125</xdr:rowOff>
    </xdr:to>
    <xdr:cxnSp macro="">
      <xdr:nvCxnSpPr>
        <xdr:cNvPr id="3" name="直接连接符 2"/>
        <xdr:cNvCxnSpPr/>
      </xdr:nvCxnSpPr>
      <xdr:spPr>
        <a:xfrm>
          <a:off x="15544800" y="8943975"/>
          <a:ext cx="447675" cy="504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0</xdr:colOff>
      <xdr:row>4</xdr:row>
      <xdr:rowOff>0</xdr:rowOff>
    </xdr:from>
    <xdr:to>
      <xdr:col>38</xdr:col>
      <xdr:colOff>9525</xdr:colOff>
      <xdr:row>16</xdr:row>
      <xdr:rowOff>238125</xdr:rowOff>
    </xdr:to>
    <xdr:cxnSp macro="">
      <xdr:nvCxnSpPr>
        <xdr:cNvPr id="4" name="直接连接符 3"/>
        <xdr:cNvCxnSpPr/>
      </xdr:nvCxnSpPr>
      <xdr:spPr>
        <a:xfrm>
          <a:off x="14601825" y="952500"/>
          <a:ext cx="1409700" cy="32575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4658;&#31077;&#30334;&#24742;&#22478;0528&#65289;&#25151;&#22320;&#20135;-&#39033;&#30446;&#65288;&#20844;&#23507;&#23616;&#370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抵押物清单汇总"/>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假设开发法"/>
      <sheetName val="收益法（商业）"/>
      <sheetName val="收益法（车位)"/>
      <sheetName val="收益法（底商)"/>
      <sheetName val="收益法（住宅车位)"/>
      <sheetName val="比较法-住宅"/>
      <sheetName val="比较法-公寓"/>
      <sheetName val="收益法 (车位)"/>
      <sheetName val="收益法 (办公)"/>
      <sheetName val="收益法（汇总）"/>
      <sheetName val="成本法 (元)"/>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efreshError="1"/>
      <sheetData sheetId="10">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收益法（车位)</v>
          </cell>
        </row>
        <row r="18">
          <cell r="A18" t="str">
            <v>办公楼</v>
          </cell>
          <cell r="B18" t="str">
            <v>收益法 (办公)</v>
          </cell>
        </row>
        <row r="19">
          <cell r="A19" t="str">
            <v>宿舍</v>
          </cell>
          <cell r="B19" t="str">
            <v>收益法（商业）</v>
          </cell>
        </row>
        <row r="20">
          <cell r="A20" t="str">
            <v>食堂</v>
          </cell>
          <cell r="B20" t="str">
            <v>收益法（底商)</v>
          </cell>
        </row>
        <row r="21">
          <cell r="A21" t="str">
            <v>车库</v>
          </cell>
          <cell r="B21" t="str">
            <v>比较法-公寓</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refreshError="1"/>
      <sheetData sheetId="12" refreshError="1"/>
      <sheetData sheetId="13" refreshError="1"/>
      <sheetData sheetId="14" refreshError="1"/>
      <sheetData sheetId="15">
        <row r="17">
          <cell r="C17" t="str">
            <v>项目类型</v>
          </cell>
        </row>
        <row r="19">
          <cell r="C19" t="str">
            <v>办公（公寓）</v>
          </cell>
        </row>
      </sheetData>
      <sheetData sheetId="16">
        <row r="53">
          <cell r="A53" t="str">
            <v>城镇土地纳税等级分级范围</v>
          </cell>
        </row>
        <row r="54">
          <cell r="A54" t="str">
            <v>一级</v>
          </cell>
        </row>
        <row r="55">
          <cell r="A55" t="str">
            <v>二级</v>
          </cell>
        </row>
        <row r="56">
          <cell r="A56" t="str">
            <v>郑州一级</v>
          </cell>
        </row>
        <row r="57">
          <cell r="A57" t="str">
            <v>四级</v>
          </cell>
        </row>
        <row r="58">
          <cell r="A58" t="str">
            <v>五级</v>
          </cell>
        </row>
        <row r="59">
          <cell r="A59" t="str">
            <v>六级</v>
          </cell>
        </row>
      </sheetData>
      <sheetData sheetId="17" refreshError="1"/>
      <sheetData sheetId="18" refreshError="1"/>
      <sheetData sheetId="19" refreshError="1"/>
      <sheetData sheetId="20" refreshError="1"/>
      <sheetData sheetId="21">
        <row r="73">
          <cell r="A73" t="str">
            <v>交易情况</v>
          </cell>
          <cell r="C73" t="str">
            <v>正常</v>
          </cell>
          <cell r="D73" t="str">
            <v>其他情况</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refreshError="1"/>
      <sheetData sheetId="23" refreshError="1"/>
      <sheetData sheetId="24" refreshError="1"/>
      <sheetData sheetId="25" refreshError="1"/>
      <sheetData sheetId="26" refreshError="1"/>
      <sheetData sheetId="27">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高板</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6">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7">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8">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9">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4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河南省郑州市金水区红旗路北、经七路东出让国有建设用地使用权及在建建筑物房地产抵押价值预评估</v>
      </c>
    </row>
    <row r="3" spans="1:2" s="1596" customFormat="1">
      <c r="A3" s="1594" t="s">
        <v>1221</v>
      </c>
      <c r="B3" s="1595" t="str">
        <f>'预评函-封皮'!B40</f>
        <v>河南恒祥实业有限公司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受贵公司委托，我公司对河南省郑州市金水区红旗路北、经七路东出让国有建设用地使用权及在建建筑物房地产抵押价值进行了预评估。</v>
      </c>
    </row>
    <row r="7" spans="1:2" s="1596" customFormat="1">
      <c r="A7" s="1594" t="s">
        <v>1264</v>
      </c>
      <c r="B7" s="1595" t="str">
        <f>'预评函-1'!A7</f>
        <v>估价对象为河南省郑州市金水区红旗路北、经七路东出让国有建设用地使用权及在建建筑物房地产，为河南恒祥实业有限公司所有。根据《国有土地使用证》[京顺国用（2015出）第00113号]，估价对象（分摊）出让国有建设用地使用权面积为7681.84平方米，建筑面积为44886.34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南省郑州市金水区红旗路北、经七路东出让国有建设用地使用权及在建建筑物房地产,属河南恒祥实业有限公司开发建设的居住项目，该项目尚在开发建设中。根据《国有土地使用证》[京顺国用（2015出）第00113号]，估价对象（分摊）出让国有建设用地使用权面积为7681.84平方米，规划建筑面积为44886.34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为估价委托人在向中诚信托有限责任公司办理贷款手续过程中，确定房地产抵押贷款额度提供参考依据而评估房地产抵押价值。</v>
      </c>
    </row>
    <row r="12" spans="1:2" s="1596" customFormat="1">
      <c r="A12" s="1594" t="s">
        <v>1226</v>
      </c>
      <c r="B12" s="1595" t="str">
        <f>'预评函-1'!A15</f>
        <v>2018年5月28日（评估专业人员实地查勘之日）</v>
      </c>
    </row>
    <row r="13" spans="1:2" s="1596" customFormat="1">
      <c r="A13" s="1594" t="s">
        <v>1227</v>
      </c>
      <c r="B13" s="1595" t="str">
        <f>'预评函-1'!A18</f>
        <v>本次估价的“房地产价值”是指在正常市场情况下，在价值时点2018年5月28日，估价对象规划用途为商业，土地取得方式为出让，出让国有建设用地使用权剩余土地使用年限为38.06，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五通”（即通路、通电、通上水、通下水、通讯）、红线内场地平整条件下，剩余土地使用年限为38.06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58072</v>
      </c>
    </row>
    <row r="21" spans="1:2" s="1596" customFormat="1">
      <c r="A21" s="1594" t="s">
        <v>1235</v>
      </c>
      <c r="B21" s="1595">
        <f ca="1">'预评函-2'!D7</f>
        <v>12938</v>
      </c>
    </row>
    <row r="22" spans="1:2" s="1596" customFormat="1">
      <c r="A22" s="1594" t="s">
        <v>1236</v>
      </c>
      <c r="B22" s="1595" t="str">
        <f ca="1">'预评函-2'!D6</f>
        <v>伍亿捌仟零柒拾贰万元整</v>
      </c>
    </row>
    <row r="23" spans="1:2" s="1596" customFormat="1">
      <c r="A23" s="1594" t="s">
        <v>1287</v>
      </c>
      <c r="B23" s="1595" t="str">
        <f>'预评函-2'!B8</f>
        <v>2.估价师知悉的法定优先受偿款</v>
      </c>
    </row>
    <row r="24" spans="1:2" s="1596" customFormat="1">
      <c r="A24" s="1594" t="s">
        <v>1293</v>
      </c>
      <c r="B24" s="1595">
        <f>'预评函-2'!D8</f>
        <v>3803</v>
      </c>
    </row>
    <row r="25" spans="1:2" s="1596" customFormat="1">
      <c r="A25" s="1594" t="s">
        <v>1237</v>
      </c>
      <c r="B25" s="1595" t="str">
        <f>'预评函-2'!D9</f>
        <v>叁仟捌佰零叁万元整</v>
      </c>
    </row>
    <row r="26" spans="1:2" s="1596" customFormat="1">
      <c r="A26" s="1594" t="s">
        <v>1238</v>
      </c>
      <c r="B26" s="1595" t="str">
        <f>'预评函-2'!D10</f>
        <v>（未扣减，详见特别提示）</v>
      </c>
    </row>
    <row r="27" spans="1:2" s="1596" customFormat="1">
      <c r="A27" s="1594" t="s">
        <v>1239</v>
      </c>
      <c r="B27" s="1595">
        <f>'预评函-2'!D11</f>
        <v>1758</v>
      </c>
    </row>
    <row r="28" spans="1:2" s="1596" customFormat="1">
      <c r="A28" s="1594" t="s">
        <v>1240</v>
      </c>
      <c r="B28" s="1595">
        <f>'预评函-2'!D12</f>
        <v>2045</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54269</v>
      </c>
    </row>
    <row r="35" spans="1:2" s="1596" customFormat="1">
      <c r="A35" s="1594" t="s">
        <v>1275</v>
      </c>
      <c r="B35" s="1595">
        <f ca="1">'预评函-2'!D18</f>
        <v>12090</v>
      </c>
    </row>
    <row r="36" spans="1:2" s="1596" customFormat="1">
      <c r="A36" s="1594" t="s">
        <v>1242</v>
      </c>
      <c r="B36" s="1595" t="str">
        <f ca="1">'预评函-2'!D17</f>
        <v>伍亿肆仟贰佰陆拾玖万元整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河南省郑州市金水区红旗路北、经七路东出让国有建设用地使用权及在建建筑物房地产</v>
      </c>
    </row>
    <row r="42" spans="1:2" s="1596" customFormat="1">
      <c r="A42" s="1594" t="s">
        <v>1288</v>
      </c>
      <c r="B42" s="1595" t="str">
        <f>'预评函-3'!B2</f>
        <v>建筑面积</v>
      </c>
    </row>
    <row r="43" spans="1:2" s="1596" customFormat="1">
      <c r="A43" s="1594" t="s">
        <v>1289</v>
      </c>
      <c r="B43" s="1595">
        <f>'预评函-3'!B4</f>
        <v>44886.34</v>
      </c>
    </row>
    <row r="44" spans="1:2" s="1596" customFormat="1">
      <c r="A44" s="1594" t="s">
        <v>1273</v>
      </c>
      <c r="B44" s="1595" t="str">
        <f>'预评函-3'!C2</f>
        <v>(分摊)土地面积</v>
      </c>
    </row>
    <row r="45" spans="1:2" s="1596" customFormat="1">
      <c r="A45" s="1594" t="s">
        <v>1245</v>
      </c>
      <c r="B45" s="1595">
        <f>'预评函-3'!C4</f>
        <v>7681.84</v>
      </c>
    </row>
    <row r="46" spans="1:2" s="1596" customFormat="1">
      <c r="A46" s="1594" t="s">
        <v>1271</v>
      </c>
      <c r="B46" s="1595" t="str">
        <f>'预评函-3'!D2</f>
        <v>出让国有建设用地使用权价值</v>
      </c>
    </row>
    <row r="47" spans="1:2" s="1596" customFormat="1">
      <c r="A47" s="1594" t="s">
        <v>1246</v>
      </c>
      <c r="B47" s="1595">
        <f ca="1">'预评函-3'!D4</f>
        <v>43670</v>
      </c>
    </row>
    <row r="48" spans="1:2" s="1596" customFormat="1">
      <c r="A48" s="1594" t="s">
        <v>1247</v>
      </c>
      <c r="B48" s="1595">
        <f ca="1">'预评函-3'!E4</f>
        <v>9729</v>
      </c>
    </row>
    <row r="49" spans="1:2" s="1596" customFormat="1">
      <c r="A49" s="1594" t="s">
        <v>1248</v>
      </c>
      <c r="B49" s="1595" t="str">
        <f ca="1">'预评函-3'!D5</f>
        <v>肆亿叁仟陆佰柒拾万元整</v>
      </c>
    </row>
    <row r="50" spans="1:2" s="1596" customFormat="1">
      <c r="A50" s="1594" t="s">
        <v>1272</v>
      </c>
      <c r="B50" s="1595" t="str">
        <f>'预评函-3'!F2</f>
        <v>在建建筑物价值</v>
      </c>
    </row>
    <row r="51" spans="1:2" s="1596" customFormat="1">
      <c r="A51" s="1594" t="s">
        <v>1249</v>
      </c>
      <c r="B51" s="1595">
        <f ca="1">'预评函-3'!F4</f>
        <v>14402</v>
      </c>
    </row>
    <row r="52" spans="1:2" s="1596" customFormat="1">
      <c r="A52" s="1594" t="s">
        <v>1250</v>
      </c>
      <c r="B52" s="1595">
        <f ca="1">'预评函-3'!G4</f>
        <v>3209</v>
      </c>
    </row>
    <row r="53" spans="1:2" s="1596" customFormat="1">
      <c r="A53" s="1594" t="s">
        <v>1278</v>
      </c>
      <c r="B53" s="1595" t="str">
        <f ca="1">'预评函-3'!F5</f>
        <v>壹亿肆仟肆佰零贰万元整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故，本次评估估价师知悉的法定优先受偿款为人民币3803万元整。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恒祥实业有限公司拟使用河南省郑州市金水区红旗路北、经七路东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7"/>
      <c r="B54" s="2025" t="s">
        <v>864</v>
      </c>
      <c r="C54" s="2022" t="s">
        <v>1281</v>
      </c>
    </row>
    <row r="55" spans="1:4">
      <c r="A55" s="3067"/>
      <c r="B55" s="2025" t="s">
        <v>865</v>
      </c>
      <c r="C55" s="2022" t="s">
        <v>1282</v>
      </c>
    </row>
    <row r="56" spans="1:4">
      <c r="A56" s="3067"/>
      <c r="B56" s="2025" t="s">
        <v>866</v>
      </c>
      <c r="C56" s="2022" t="s">
        <v>1286</v>
      </c>
    </row>
    <row r="57" spans="1:4">
      <c r="A57" s="306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6" sqref="G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1776</v>
      </c>
      <c r="B1" s="3076"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河南省郑州市金水区红旗路北、经七路东出让国有建设用地使用权及在建建筑物房地产抵押价值预评估</v>
      </c>
      <c r="C1" s="3077"/>
      <c r="D1" s="3077"/>
      <c r="E1" s="3077"/>
      <c r="F1" s="3077"/>
      <c r="G1" s="3077"/>
      <c r="H1" s="3077"/>
      <c r="I1" s="307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2038" t="s">
        <v>1778</v>
      </c>
      <c r="B3" s="2039">
        <v>43248</v>
      </c>
      <c r="C3" s="2040" t="s">
        <v>1779</v>
      </c>
      <c r="D3" s="2039">
        <v>43248</v>
      </c>
      <c r="E3" s="2029"/>
      <c r="F3" s="2029"/>
      <c r="G3" s="2029"/>
      <c r="H3" s="2029"/>
      <c r="I3" s="2029"/>
      <c r="J3" s="2029"/>
      <c r="K3" s="2030"/>
      <c r="L3" s="2031"/>
      <c r="M3" s="2031"/>
      <c r="N3" s="2032"/>
      <c r="O3" s="2033"/>
      <c r="P3" s="2032"/>
      <c r="Q3" s="2032"/>
      <c r="R3" s="2032"/>
      <c r="S3" s="2034"/>
    </row>
    <row r="4" spans="1:19" ht="18" customHeight="1" thickBot="1">
      <c r="A4" s="2041" t="s">
        <v>1780</v>
      </c>
      <c r="B4" s="2042" t="s">
        <v>3044</v>
      </c>
      <c r="C4" s="1040">
        <f ca="1">SUMIF(注册房地产估价师,B4,估价师及机构信息!B3:B24)</f>
        <v>1120050019</v>
      </c>
      <c r="D4" s="2042" t="s">
        <v>3045</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43"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5"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3049</v>
      </c>
      <c r="C8" s="2056"/>
      <c r="D8" s="3079" t="s">
        <v>1785</v>
      </c>
      <c r="E8" s="2057" t="s">
        <v>3050</v>
      </c>
      <c r="F8" s="2058"/>
      <c r="G8" s="2029"/>
      <c r="H8" s="2029"/>
      <c r="I8" s="2029"/>
      <c r="J8" s="2045"/>
      <c r="K8" s="2046"/>
      <c r="L8" s="2031"/>
      <c r="M8" s="2031"/>
      <c r="N8" s="2032"/>
      <c r="O8" s="2033"/>
      <c r="P8" s="2032"/>
      <c r="Q8" s="2032"/>
      <c r="R8" s="2032"/>
    </row>
    <row r="9" spans="1:19" ht="18" customHeight="1" thickBot="1">
      <c r="A9" s="2043" t="s">
        <v>1786</v>
      </c>
      <c r="B9" s="2059" t="s">
        <v>3051</v>
      </c>
      <c r="C9" s="2060"/>
      <c r="D9" s="3080"/>
      <c r="E9" s="2059" t="s">
        <v>70</v>
      </c>
      <c r="F9" s="2061"/>
      <c r="G9" s="2062"/>
      <c r="H9" s="2062"/>
      <c r="I9" s="2062"/>
      <c r="J9" s="2045"/>
      <c r="K9" s="2054"/>
      <c r="L9" s="2031"/>
      <c r="M9" s="2031"/>
      <c r="N9" s="2032"/>
      <c r="O9" s="2033"/>
      <c r="P9" s="2032"/>
      <c r="Q9" s="2032"/>
      <c r="R9" s="2032"/>
    </row>
    <row r="10" spans="1:19" ht="18" customHeight="1" thickTop="1">
      <c r="A10" s="2063" t="s">
        <v>1787</v>
      </c>
      <c r="B10" s="2064" t="s">
        <v>3052</v>
      </c>
      <c r="C10" s="2946" t="s">
        <v>3053</v>
      </c>
      <c r="D10" s="2049"/>
      <c r="E10" s="2065" t="s">
        <v>1788</v>
      </c>
      <c r="F10" s="2947" t="s">
        <v>3054</v>
      </c>
      <c r="G10" s="2066"/>
      <c r="H10" s="2067"/>
      <c r="I10" s="2049"/>
      <c r="J10" s="2045"/>
      <c r="K10" s="2054"/>
      <c r="L10" s="2031"/>
      <c r="M10" s="2031"/>
      <c r="N10" s="2032"/>
      <c r="O10" s="2033"/>
      <c r="P10" s="2032"/>
      <c r="Q10" s="2032"/>
      <c r="R10" s="2032"/>
    </row>
    <row r="11" spans="1:19" ht="18" customHeight="1">
      <c r="A11" s="2068" t="s">
        <v>1789</v>
      </c>
      <c r="B11" s="2069" t="s">
        <v>3055</v>
      </c>
      <c r="C11" s="2944" t="s">
        <v>3047</v>
      </c>
      <c r="D11" s="2070"/>
      <c r="E11" s="2045"/>
      <c r="F11" s="2045"/>
      <c r="G11" s="2045"/>
      <c r="H11" s="2045"/>
      <c r="I11" s="2045"/>
      <c r="J11" s="2045"/>
      <c r="K11" s="2054"/>
      <c r="L11" s="2031"/>
      <c r="M11" s="2031"/>
      <c r="N11" s="2032"/>
      <c r="O11" s="2033"/>
      <c r="P11" s="2032"/>
      <c r="Q11" s="2032"/>
      <c r="R11" s="2032"/>
    </row>
    <row r="12" spans="1:19" ht="18" customHeight="1">
      <c r="A12" s="2071" t="s">
        <v>1790</v>
      </c>
      <c r="B12" s="2069" t="s">
        <v>3056</v>
      </c>
      <c r="C12" s="2072" t="s">
        <v>1791</v>
      </c>
      <c r="D12" s="2073" t="s">
        <v>1792</v>
      </c>
      <c r="E12" s="2073" t="s">
        <v>1793</v>
      </c>
      <c r="F12" s="2073" t="s">
        <v>1794</v>
      </c>
      <c r="G12" s="2073" t="s">
        <v>1795</v>
      </c>
      <c r="H12" s="2073" t="s">
        <v>1796</v>
      </c>
      <c r="I12" s="2073" t="s">
        <v>1797</v>
      </c>
      <c r="J12" s="2045"/>
      <c r="K12" s="2054"/>
      <c r="L12" s="2031"/>
      <c r="M12" s="2031"/>
      <c r="N12" s="2032"/>
      <c r="O12" s="2033"/>
      <c r="P12" s="2032"/>
      <c r="Q12" s="2032"/>
      <c r="R12" s="2032"/>
    </row>
    <row r="13" spans="1:19" ht="18" customHeight="1">
      <c r="A13" s="2074"/>
      <c r="B13" s="2075"/>
      <c r="C13" s="2076" t="s">
        <v>1798</v>
      </c>
      <c r="D13" s="2077"/>
      <c r="E13" s="2077">
        <v>57142</v>
      </c>
      <c r="F13" s="2077"/>
      <c r="G13" s="2077"/>
      <c r="H13" s="2077"/>
      <c r="I13" s="1050"/>
      <c r="J13" s="2045"/>
      <c r="K13" s="2054"/>
      <c r="L13" s="2031"/>
      <c r="M13" s="2031"/>
      <c r="N13" s="2032"/>
      <c r="O13" s="2033"/>
      <c r="P13" s="2032"/>
      <c r="Q13" s="2032"/>
      <c r="R13" s="2032"/>
    </row>
    <row r="14" spans="1:19" ht="18" customHeight="1">
      <c r="A14" s="2074"/>
      <c r="B14" s="2075"/>
      <c r="C14" s="2076" t="s">
        <v>1799</v>
      </c>
      <c r="D14" s="1053"/>
      <c r="E14" s="1053">
        <v>40</v>
      </c>
      <c r="F14" s="1053"/>
      <c r="G14" s="1053"/>
      <c r="H14" s="1053"/>
      <c r="I14" s="1053"/>
      <c r="J14" s="2045"/>
      <c r="K14" s="2078"/>
      <c r="L14" s="2031"/>
      <c r="M14" s="2031"/>
      <c r="N14" s="2032"/>
      <c r="O14" s="2033"/>
      <c r="P14" s="2032"/>
      <c r="Q14" s="2032"/>
      <c r="R14" s="2032"/>
    </row>
    <row r="15" spans="1:19" ht="18" customHeight="1">
      <c r="A15" s="2063"/>
      <c r="B15" s="2079"/>
      <c r="C15" s="2076" t="s">
        <v>1800</v>
      </c>
      <c r="D15" s="1052" t="str">
        <f>IF(B12="出让",IF(D13="","",ROUNDDOWN(MIN((D13-$D$3)/365,D14),2)),D14)</f>
        <v/>
      </c>
      <c r="E15" s="1052">
        <f>IF(B12="出让",IF(E13="","",ROUNDDOWN(MIN((E13-$D$3)/365,E14),2)),E14)</f>
        <v>38.06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0"/>
      <c r="L15" s="2081"/>
      <c r="M15" s="2081"/>
      <c r="N15" s="2082"/>
      <c r="O15" s="2081"/>
      <c r="P15" s="2082"/>
      <c r="Q15" s="2032"/>
      <c r="R15" s="2032"/>
    </row>
    <row r="16" spans="1:19" ht="30.75" customHeight="1">
      <c r="A16" s="2065" t="s">
        <v>1801</v>
      </c>
      <c r="B16" s="3086" t="s">
        <v>3057</v>
      </c>
      <c r="C16" s="3087"/>
      <c r="D16" s="3088"/>
      <c r="E16" s="2083" t="s">
        <v>1802</v>
      </c>
      <c r="F16" s="3089">
        <f>E15</f>
        <v>38.06</v>
      </c>
      <c r="G16" s="3090"/>
      <c r="H16" s="3090"/>
      <c r="I16" s="3091"/>
      <c r="J16" s="2032"/>
      <c r="K16" s="2080"/>
      <c r="L16" s="2081"/>
      <c r="M16" s="2081"/>
      <c r="N16" s="2082"/>
      <c r="O16" s="2081"/>
      <c r="P16" s="2082"/>
      <c r="Q16" s="2032"/>
      <c r="R16" s="2032"/>
    </row>
    <row r="17" spans="1:22" ht="18" customHeight="1">
      <c r="A17" s="2084" t="s">
        <v>1803</v>
      </c>
      <c r="B17" s="2038" t="s">
        <v>1804</v>
      </c>
      <c r="C17" s="1057">
        <f>'数据-汇总表'!E3</f>
        <v>44886.34</v>
      </c>
      <c r="D17" s="2085" t="s">
        <v>1805</v>
      </c>
      <c r="E17" s="3092" t="s">
        <v>3059</v>
      </c>
      <c r="F17" s="3093"/>
      <c r="G17" s="3093"/>
      <c r="H17" s="3093"/>
      <c r="I17" s="3094"/>
      <c r="J17" s="2032"/>
      <c r="K17" s="2086"/>
      <c r="L17" s="2081"/>
      <c r="M17" s="2081"/>
      <c r="N17" s="2082"/>
      <c r="O17" s="2081"/>
      <c r="P17" s="2082"/>
      <c r="Q17" s="2032"/>
      <c r="R17" s="2032"/>
      <c r="S17" s="2032"/>
      <c r="T17" s="2032"/>
      <c r="U17" s="2032"/>
      <c r="V17" s="2032"/>
    </row>
    <row r="18" spans="1:22" ht="36" customHeight="1" thickBot="1">
      <c r="A18" s="2087" t="s">
        <v>1806</v>
      </c>
      <c r="B18" s="2041" t="s">
        <v>1807</v>
      </c>
      <c r="C18" s="1447">
        <f>'数据-汇总表'!D3</f>
        <v>7681.84</v>
      </c>
      <c r="D18" s="2088" t="s">
        <v>1805</v>
      </c>
      <c r="E18" s="3095" t="s">
        <v>3058</v>
      </c>
      <c r="F18" s="3096"/>
      <c r="G18" s="3096"/>
      <c r="H18" s="3096"/>
      <c r="I18" s="3097"/>
      <c r="J18" s="2032"/>
      <c r="K18" s="2086"/>
      <c r="L18" s="2081"/>
      <c r="M18" s="2081"/>
      <c r="N18" s="2082"/>
      <c r="O18" s="2081"/>
      <c r="P18" s="2082"/>
      <c r="Q18" s="2032"/>
      <c r="R18" s="2032"/>
      <c r="S18" s="2032"/>
      <c r="T18" s="2032"/>
      <c r="U18" s="2032"/>
      <c r="V18" s="2032"/>
    </row>
    <row r="19" spans="1:22" ht="37.5" customHeight="1" thickTop="1" thickBot="1">
      <c r="A19" s="373" t="s">
        <v>1808</v>
      </c>
      <c r="B19" s="352" t="s">
        <v>1809</v>
      </c>
      <c r="C19" s="2089" t="s">
        <v>3060</v>
      </c>
      <c r="D19" s="2090" t="s">
        <v>1810</v>
      </c>
      <c r="E19" s="2091" t="s">
        <v>3061</v>
      </c>
      <c r="F19" s="2092" t="str">
        <f>IF(AND(C19="是",E19="否"),"是否提供他项权证或相关说明","")</f>
        <v>是否提供他项权证或相关说明</v>
      </c>
      <c r="G19" s="2093"/>
      <c r="H19" s="2045"/>
      <c r="I19" s="2045"/>
      <c r="J19" s="2045"/>
      <c r="K19" s="2054"/>
      <c r="L19" s="2031"/>
      <c r="M19" s="2031"/>
      <c r="N19" s="2082"/>
      <c r="O19" s="2081"/>
      <c r="P19" s="2082"/>
      <c r="Q19" s="2032"/>
      <c r="R19" s="2032"/>
      <c r="S19" s="2032"/>
      <c r="T19" s="2032"/>
      <c r="U19" s="2032"/>
      <c r="V19" s="2032"/>
    </row>
    <row r="20" spans="1:22" ht="18" customHeight="1">
      <c r="A20" s="2094" t="s">
        <v>1811</v>
      </c>
      <c r="B20" s="3082" t="s">
        <v>1812</v>
      </c>
      <c r="C20" s="3083"/>
      <c r="D20" s="3084" t="s">
        <v>1813</v>
      </c>
      <c r="E20" s="3085"/>
      <c r="F20" s="2095" t="s">
        <v>1814</v>
      </c>
      <c r="G20" s="2045"/>
      <c r="H20" s="2045"/>
      <c r="I20" s="2045"/>
      <c r="J20" s="2045"/>
      <c r="K20" s="3081" t="s">
        <v>1815</v>
      </c>
      <c r="L20" s="748"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31"/>
      <c r="N20" s="2082"/>
      <c r="O20" s="2081"/>
      <c r="P20" s="2082"/>
      <c r="Q20" s="2032"/>
      <c r="R20" s="2032"/>
      <c r="S20" s="2032"/>
      <c r="T20" s="2032"/>
      <c r="U20" s="2032"/>
      <c r="V20" s="2032"/>
    </row>
    <row r="21" spans="1:22" ht="24.75" customHeight="1">
      <c r="A21" s="2094"/>
      <c r="B21" s="2096" t="s">
        <v>3062</v>
      </c>
      <c r="C21" s="2097" t="s">
        <v>3063</v>
      </c>
      <c r="D21" s="2098" t="s">
        <v>1817</v>
      </c>
      <c r="E21" s="2099" t="s">
        <v>1816</v>
      </c>
      <c r="F21" s="2100"/>
      <c r="G21" s="2045"/>
      <c r="H21" s="2045"/>
      <c r="I21" s="2045"/>
      <c r="J21" s="2045"/>
      <c r="K21" s="30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2"/>
      <c r="O21" s="2081"/>
      <c r="P21" s="2082"/>
      <c r="Q21" s="2032"/>
      <c r="R21" s="2032"/>
      <c r="S21" s="2032"/>
      <c r="T21" s="2032"/>
      <c r="U21" s="2032"/>
      <c r="V21" s="2032"/>
    </row>
    <row r="22" spans="1:22" ht="24.75" customHeight="1" thickBot="1">
      <c r="A22" s="2094"/>
      <c r="B22" s="2101"/>
      <c r="C22" s="2097"/>
      <c r="D22" s="2029"/>
      <c r="E22" s="2029"/>
      <c r="F22" s="2102"/>
      <c r="G22" s="2045"/>
      <c r="H22" s="2045"/>
      <c r="I22" s="2045"/>
      <c r="J22" s="2045"/>
      <c r="K22" s="30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2"/>
      <c r="O22" s="2081"/>
      <c r="P22" s="2082"/>
      <c r="Q22" s="2032"/>
      <c r="R22" s="2032"/>
      <c r="S22" s="2032"/>
      <c r="T22" s="2032"/>
      <c r="U22" s="2032"/>
      <c r="V22" s="2032"/>
    </row>
    <row r="23" spans="1:22" ht="18" customHeight="1">
      <c r="A23" s="2103" t="s">
        <v>1818</v>
      </c>
      <c r="B23" s="183" t="s">
        <v>1819</v>
      </c>
      <c r="C23" s="2104"/>
      <c r="D23" s="2105" t="s">
        <v>1819</v>
      </c>
      <c r="E23" s="2106"/>
      <c r="F23" s="2102"/>
      <c r="G23" s="2045"/>
      <c r="H23" s="2045"/>
      <c r="I23" s="2045"/>
      <c r="J23" s="2045"/>
      <c r="K23" s="2107"/>
      <c r="L23" s="748"/>
      <c r="M23" s="2031"/>
      <c r="N23" s="2082"/>
      <c r="O23" s="2081"/>
      <c r="P23" s="2082"/>
      <c r="Q23" s="2032"/>
      <c r="R23" s="2032"/>
      <c r="S23" s="2032"/>
      <c r="T23" s="2032"/>
      <c r="U23" s="2032"/>
      <c r="V23" s="2032"/>
    </row>
    <row r="24" spans="1:22" ht="18" customHeight="1">
      <c r="A24" s="2108"/>
      <c r="B24" s="183" t="s">
        <v>1820</v>
      </c>
      <c r="C24" s="2109"/>
      <c r="D24" s="2103" t="s">
        <v>1820</v>
      </c>
      <c r="E24" s="2110"/>
      <c r="F24" s="2102"/>
      <c r="G24" s="2045"/>
      <c r="H24" s="2045"/>
      <c r="I24" s="2045"/>
      <c r="J24" s="2045"/>
      <c r="K24" s="2107"/>
      <c r="L24" s="748"/>
      <c r="M24" s="2031"/>
      <c r="N24" s="2082"/>
      <c r="O24" s="2081"/>
      <c r="P24" s="2082"/>
      <c r="Q24" s="2032"/>
      <c r="R24" s="2032"/>
      <c r="S24" s="2032"/>
      <c r="T24" s="2032"/>
      <c r="U24" s="2032"/>
      <c r="V24" s="2032"/>
    </row>
    <row r="25" spans="1:22" ht="18" customHeight="1">
      <c r="A25" s="2108"/>
      <c r="B25" s="183" t="s">
        <v>1821</v>
      </c>
      <c r="C25" s="2109"/>
      <c r="D25" s="2103" t="s">
        <v>1821</v>
      </c>
      <c r="E25" s="2110"/>
      <c r="F25" s="2102"/>
      <c r="G25" s="2045"/>
      <c r="H25" s="2045"/>
      <c r="I25" s="2045"/>
      <c r="J25" s="2045"/>
      <c r="K25" s="2054"/>
      <c r="L25" s="2031"/>
      <c r="M25" s="2031"/>
      <c r="N25" s="2082"/>
      <c r="O25" s="2081"/>
      <c r="P25" s="2082"/>
      <c r="Q25" s="2032"/>
      <c r="R25" s="2032"/>
      <c r="S25" s="2032"/>
      <c r="T25" s="2032"/>
      <c r="U25" s="2032"/>
      <c r="V25" s="2032"/>
    </row>
    <row r="26" spans="1:22" ht="18" customHeight="1" thickBot="1">
      <c r="A26" s="2111"/>
      <c r="B26" s="2112" t="s">
        <v>1822</v>
      </c>
      <c r="C26" s="2113"/>
      <c r="D26" s="2114" t="s">
        <v>1823</v>
      </c>
      <c r="E26" s="2115"/>
      <c r="F26" s="2116"/>
      <c r="G26" s="2062"/>
      <c r="H26" s="2062"/>
      <c r="I26" s="2062"/>
      <c r="J26" s="2045"/>
      <c r="K26" s="2054"/>
      <c r="L26" s="2031"/>
      <c r="M26" s="2031"/>
      <c r="N26" s="2082"/>
      <c r="O26" s="2081"/>
      <c r="P26" s="2082"/>
      <c r="Q26" s="2032"/>
      <c r="R26" s="2032"/>
      <c r="S26" s="2032"/>
      <c r="T26" s="2032"/>
      <c r="U26" s="2032"/>
      <c r="V26" s="2032"/>
    </row>
    <row r="27" spans="1:22" ht="18" customHeight="1" thickTop="1">
      <c r="A27" s="3069" t="s">
        <v>1824</v>
      </c>
      <c r="B27" s="2063" t="s">
        <v>1825</v>
      </c>
      <c r="C27" s="2117" t="s">
        <v>3064</v>
      </c>
      <c r="D27" s="2118"/>
      <c r="E27" s="2045"/>
      <c r="F27" s="2045"/>
      <c r="G27" s="2045"/>
      <c r="H27" s="2045"/>
      <c r="I27" s="2045"/>
      <c r="J27" s="2032"/>
      <c r="K27" s="2080"/>
      <c r="L27" s="2081"/>
      <c r="M27" s="2081"/>
      <c r="N27" s="2082"/>
      <c r="O27" s="2081"/>
      <c r="P27" s="2082"/>
      <c r="Q27" s="2032"/>
      <c r="R27" s="2032"/>
      <c r="S27" s="2032"/>
      <c r="T27" s="2032"/>
      <c r="U27" s="2032"/>
      <c r="V27" s="2032"/>
    </row>
    <row r="28" spans="1:22" ht="18" customHeight="1">
      <c r="A28" s="3069"/>
      <c r="B28" s="2038" t="s">
        <v>1826</v>
      </c>
      <c r="C28" s="2119" t="s">
        <v>3065</v>
      </c>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069"/>
      <c r="B29" s="2038" t="s">
        <v>1827</v>
      </c>
      <c r="C29" s="2122" t="s">
        <v>3061</v>
      </c>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070"/>
      <c r="B30" s="2038" t="s">
        <v>1828</v>
      </c>
      <c r="C30" s="3071"/>
      <c r="D30" s="3072"/>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073" t="s">
        <v>1829</v>
      </c>
      <c r="B31" s="2124" t="s">
        <v>3066</v>
      </c>
      <c r="C31" s="2125" t="str">
        <f>IF(B31="现房","成新及维护状况正常否",IF(B31="在建","工程状态是否正常",IF(B31="土地","是否闲置","-")))</f>
        <v>工程状态是否正常</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074"/>
      <c r="B32" s="2124"/>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074"/>
      <c r="B33" s="2128"/>
      <c r="C33" s="2068"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1" t="s">
        <v>3067</v>
      </c>
      <c r="C34" s="2131" t="s">
        <v>3068</v>
      </c>
      <c r="D34" s="2131" t="s">
        <v>3069</v>
      </c>
      <c r="E34" s="2131" t="s">
        <v>3070</v>
      </c>
      <c r="F34" s="2131" t="s">
        <v>3071</v>
      </c>
      <c r="G34" s="2131" t="s">
        <v>70</v>
      </c>
      <c r="H34" s="2131" t="s">
        <v>70</v>
      </c>
      <c r="I34" s="2045"/>
      <c r="J34" s="2045"/>
      <c r="K34" s="1798">
        <f>COUNTIF(B34:H34,"——")</f>
        <v>2</v>
      </c>
      <c r="L34" s="2072" t="s">
        <v>1831</v>
      </c>
      <c r="M34" s="2072" t="s">
        <v>1832</v>
      </c>
      <c r="N34" s="2072" t="s">
        <v>1833</v>
      </c>
      <c r="O34" s="2072" t="s">
        <v>1834</v>
      </c>
      <c r="P34" s="2072" t="s">
        <v>1835</v>
      </c>
      <c r="Q34" s="2072" t="s">
        <v>1836</v>
      </c>
      <c r="R34" s="2072" t="s">
        <v>1837</v>
      </c>
      <c r="S34" s="3068" t="s">
        <v>1838</v>
      </c>
      <c r="T34" s="2132" t="str">
        <f>NUMBERSTRING(7-K34,1)&amp;"通"</f>
        <v>五通</v>
      </c>
      <c r="U34" s="2032"/>
      <c r="V34" s="2032"/>
    </row>
    <row r="35" spans="1:22" ht="18" customHeight="1">
      <c r="A35" s="2133"/>
      <c r="B35" s="3075" t="s">
        <v>1839</v>
      </c>
      <c r="C35" s="3075"/>
      <c r="D35" s="3075"/>
      <c r="E35" s="3075"/>
      <c r="F35" s="2134" t="str">
        <f>C10</f>
        <v>河南省郑州市</v>
      </c>
      <c r="G35" s="2045"/>
      <c r="H35" s="2045"/>
      <c r="I35" s="2045"/>
      <c r="J35" s="2045"/>
      <c r="K35" s="2072"/>
      <c r="L35" s="2072"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68"/>
      <c r="T35" s="48" t="str">
        <f>IF(T34="一通",L35,IF(T34="二通",M35,IF(T34="三通",N35,IF(T34="四通",O35,IF(T34="五通",P35,IF(T34="六通",Q35,R35))))))</f>
        <v>通路、通电、通上水、通下水、通讯</v>
      </c>
      <c r="U35" s="2032"/>
      <c r="V35" s="2032"/>
    </row>
    <row r="36" spans="1:22" ht="18" customHeight="1">
      <c r="A36" s="2135"/>
      <c r="B36" s="2134" t="s">
        <v>1840</v>
      </c>
      <c r="C36" s="2134" t="s">
        <v>1841</v>
      </c>
      <c r="D36" s="2134" t="s">
        <v>1842</v>
      </c>
      <c r="E36" s="2134" t="s">
        <v>1843</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1844</v>
      </c>
      <c r="B37" s="2138"/>
      <c r="C37" s="2138"/>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1845</v>
      </c>
      <c r="B38" s="2140"/>
      <c r="C38" s="2140"/>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2"/>
      <c r="K40" s="666"/>
      <c r="L40" s="2081"/>
      <c r="M40" s="2081"/>
      <c r="N40" s="2082"/>
      <c r="O40" s="2081"/>
      <c r="P40" s="2032"/>
      <c r="Q40" s="2032"/>
      <c r="R40" s="2032"/>
      <c r="S40" s="2032"/>
      <c r="T40" s="2032"/>
      <c r="U40" s="2032"/>
      <c r="V40" s="2032"/>
    </row>
    <row r="41" spans="1:22" ht="18" customHeight="1">
      <c r="A41" s="8" t="s">
        <v>1847</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2" t="s">
        <v>1848</v>
      </c>
      <c r="B42" s="1798" t="s">
        <v>1849</v>
      </c>
      <c r="C42" s="1798" t="s">
        <v>1850</v>
      </c>
      <c r="D42" s="1798" t="s">
        <v>1851</v>
      </c>
      <c r="E42" s="1798" t="s">
        <v>1852</v>
      </c>
      <c r="F42" s="1798" t="s">
        <v>1853</v>
      </c>
      <c r="G42" s="1798" t="s">
        <v>1854</v>
      </c>
      <c r="H42" s="1798" t="s">
        <v>1855</v>
      </c>
      <c r="I42" s="1798" t="s">
        <v>1856</v>
      </c>
      <c r="J42" s="2150" t="s">
        <v>1857</v>
      </c>
      <c r="K42" s="2073" t="s">
        <v>1858</v>
      </c>
      <c r="L42" s="2073" t="s">
        <v>1859</v>
      </c>
      <c r="M42" s="2073" t="s">
        <v>1860</v>
      </c>
      <c r="N42" s="1798" t="s">
        <v>1861</v>
      </c>
      <c r="O42" s="1798" t="s">
        <v>1862</v>
      </c>
      <c r="P42" s="1798" t="s">
        <v>1863</v>
      </c>
      <c r="Q42" s="2072" t="s">
        <v>1864</v>
      </c>
      <c r="R42" s="2072" t="s">
        <v>1865</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1871</v>
      </c>
      <c r="AZ2" s="1273"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面积表!C2</f>
        <v>87028.31</v>
      </c>
      <c r="B3" s="14">
        <f>IF(C3="否",G5-AT5,G5)</f>
        <v>508521.72</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6"/>
      <c r="C5" s="1806"/>
      <c r="D5" s="1809"/>
      <c r="E5" s="16" t="s">
        <v>1</v>
      </c>
      <c r="F5" s="16">
        <f>SUM(F13:F587)</f>
        <v>0</v>
      </c>
      <c r="G5" s="16">
        <f>SUM(G13:G587)</f>
        <v>508521.72</v>
      </c>
      <c r="H5" s="16">
        <f t="shared" ref="H5:AT5" si="0">SUM(H13:H656)</f>
        <v>506097.62</v>
      </c>
      <c r="I5" s="16">
        <f t="shared" si="0"/>
        <v>117901.02</v>
      </c>
      <c r="J5" s="16">
        <f t="shared" si="0"/>
        <v>0</v>
      </c>
      <c r="K5" s="16">
        <f t="shared" si="0"/>
        <v>256642.67</v>
      </c>
      <c r="L5" s="16">
        <f t="shared" si="0"/>
        <v>0</v>
      </c>
      <c r="M5" s="16">
        <f t="shared" si="0"/>
        <v>6321.0599999999995</v>
      </c>
      <c r="N5" s="16">
        <f t="shared" si="0"/>
        <v>0</v>
      </c>
      <c r="O5" s="16">
        <f t="shared" si="0"/>
        <v>125232.87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2424.1</v>
      </c>
      <c r="AD5" s="16">
        <f t="shared" si="0"/>
        <v>2424.1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44886.34</v>
      </c>
      <c r="BA5" s="18">
        <f t="shared" si="1"/>
        <v>44886.34</v>
      </c>
      <c r="BB5" s="18">
        <f t="shared" si="1"/>
        <v>44886.34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87028.319999999992</v>
      </c>
      <c r="F6" s="16" t="s">
        <v>1</v>
      </c>
      <c r="G6" s="16" t="s">
        <v>2</v>
      </c>
      <c r="H6" s="20">
        <f>SUMIF(I$12:AB$12,"总值",I6:AB6)</f>
        <v>86613.459999999992</v>
      </c>
      <c r="I6" s="16">
        <f t="shared" ref="I6:AB6" si="2">ROUND($A$3*I5/$B$3,2)</f>
        <v>20177.560000000001</v>
      </c>
      <c r="J6" s="16">
        <f t="shared" si="2"/>
        <v>0</v>
      </c>
      <c r="K6" s="16">
        <f t="shared" si="2"/>
        <v>43921.78</v>
      </c>
      <c r="L6" s="16">
        <f t="shared" si="2"/>
        <v>0</v>
      </c>
      <c r="M6" s="16">
        <f t="shared" si="2"/>
        <v>1081.79</v>
      </c>
      <c r="N6" s="16">
        <f t="shared" si="2"/>
        <v>0</v>
      </c>
      <c r="O6" s="16">
        <f t="shared" si="2"/>
        <v>21432.33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414.86</v>
      </c>
      <c r="AD6" s="16">
        <f t="shared" ref="AD6:AS6" si="3">ROUND($A$3*AD5/$B$3,2)</f>
        <v>414.86</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7681.84</v>
      </c>
      <c r="AZ6" s="16" t="s">
        <v>3</v>
      </c>
      <c r="BA6" s="16">
        <f>ROUND($AY$6*BA5/$AZ$5,2)</f>
        <v>7681.84</v>
      </c>
      <c r="BB6" s="16">
        <f>ROUND($AY$6*BB5/$AZ$5,2)</f>
        <v>7681.84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1884</v>
      </c>
      <c r="AV7" s="23" t="s">
        <v>1885</v>
      </c>
      <c r="AW7" s="2164" t="s">
        <v>1886</v>
      </c>
      <c r="AX7" s="23" t="s">
        <v>1879</v>
      </c>
      <c r="AY7" s="1806"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21"/>
      <c r="K8" s="1821"/>
      <c r="L8" s="1821"/>
      <c r="M8" s="1821"/>
      <c r="N8" s="1821"/>
      <c r="O8" s="1821"/>
      <c r="P8" s="1821"/>
      <c r="Q8" s="1821"/>
      <c r="R8" s="1821"/>
      <c r="S8" s="1821"/>
      <c r="T8" s="1821"/>
      <c r="U8" s="1821"/>
      <c r="V8" s="2184"/>
      <c r="W8" s="1821"/>
      <c r="X8" s="1821"/>
      <c r="Y8" s="1821"/>
      <c r="Z8" s="1821"/>
      <c r="AA8" s="2184"/>
      <c r="AB8" s="2185"/>
      <c r="AC8" s="984" t="s">
        <v>1890</v>
      </c>
      <c r="AD8" s="2186"/>
      <c r="AE8" s="2178"/>
      <c r="AF8" s="1821"/>
      <c r="AG8" s="1821"/>
      <c r="AH8" s="1821"/>
      <c r="AI8" s="1821"/>
      <c r="AJ8" s="1821"/>
      <c r="AK8" s="1821"/>
      <c r="AL8" s="1821"/>
      <c r="AM8" s="1821"/>
      <c r="AN8" s="1821"/>
      <c r="AO8" s="1821"/>
      <c r="AP8" s="1821"/>
      <c r="AQ8" s="1821"/>
      <c r="AR8" s="1821"/>
      <c r="AS8" s="1821"/>
      <c r="AT8" s="1295" t="s">
        <v>1891</v>
      </c>
      <c r="AU8" s="2180" t="s">
        <v>1892</v>
      </c>
      <c r="AV8" s="1295"/>
      <c r="AW8" s="2163"/>
      <c r="AX8" s="1295"/>
      <c r="AY8" s="2164"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1895</v>
      </c>
      <c r="I9" s="2189" t="s">
        <v>3178</v>
      </c>
      <c r="J9" s="984"/>
      <c r="K9" s="2189" t="s">
        <v>3178</v>
      </c>
      <c r="L9" s="984"/>
      <c r="M9" s="2189" t="s">
        <v>3178</v>
      </c>
      <c r="N9" s="984"/>
      <c r="O9" s="2189" t="s">
        <v>3178</v>
      </c>
      <c r="P9" s="984"/>
      <c r="Q9" s="2189"/>
      <c r="R9" s="984"/>
      <c r="S9" s="2189"/>
      <c r="T9" s="984"/>
      <c r="U9" s="2189"/>
      <c r="V9" s="984"/>
      <c r="W9" s="2189"/>
      <c r="X9" s="2190"/>
      <c r="Y9" s="2189"/>
      <c r="Z9" s="984"/>
      <c r="AA9" s="2189"/>
      <c r="AB9" s="984"/>
      <c r="AC9" s="2181"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1"/>
      <c r="AT9" s="2180"/>
      <c r="AU9" s="2180" t="s">
        <v>1898</v>
      </c>
      <c r="AV9" s="1295"/>
      <c r="AW9" s="2163"/>
      <c r="AX9" s="1295"/>
      <c r="AY9" s="28"/>
      <c r="AZ9" s="28" t="s">
        <v>1888</v>
      </c>
      <c r="BA9" s="2192" t="s">
        <v>1899</v>
      </c>
      <c r="BB9" s="2193"/>
      <c r="BC9" s="1341"/>
      <c r="BD9" s="1341"/>
      <c r="BE9" s="1341"/>
      <c r="BF9" s="1341"/>
      <c r="BG9" s="1341"/>
      <c r="BH9" s="1341"/>
      <c r="BI9" s="1341"/>
      <c r="BJ9" s="1341"/>
      <c r="BK9" s="2194"/>
      <c r="BL9" s="15" t="s">
        <v>1900</v>
      </c>
      <c r="BM9" s="1821"/>
      <c r="BN9" s="2183"/>
      <c r="BO9" s="1821"/>
      <c r="BP9" s="1821"/>
      <c r="BQ9" s="1821"/>
      <c r="BR9" s="1821"/>
      <c r="BS9" s="1821"/>
      <c r="BT9" s="26"/>
    </row>
    <row r="10" spans="1:72" s="2187" customFormat="1" ht="12.75">
      <c r="A10" s="2180"/>
      <c r="B10" s="2180"/>
      <c r="C10" s="2180"/>
      <c r="D10" s="2180"/>
      <c r="E10" s="2180"/>
      <c r="F10" s="2180"/>
      <c r="G10" s="1295"/>
      <c r="H10" s="28"/>
      <c r="I10" s="2189" t="s">
        <v>1377</v>
      </c>
      <c r="J10" s="984"/>
      <c r="K10" s="2195" t="s">
        <v>3258</v>
      </c>
      <c r="L10" s="984"/>
      <c r="M10" s="2195" t="s">
        <v>1377</v>
      </c>
      <c r="N10" s="984"/>
      <c r="O10" s="2195" t="s">
        <v>1377</v>
      </c>
      <c r="P10" s="984"/>
      <c r="Q10" s="2195"/>
      <c r="R10" s="984"/>
      <c r="S10" s="2195"/>
      <c r="T10" s="984"/>
      <c r="U10" s="2195"/>
      <c r="V10" s="984"/>
      <c r="W10" s="2195"/>
      <c r="X10" s="984"/>
      <c r="Y10" s="2195"/>
      <c r="Z10" s="984"/>
      <c r="AA10" s="2195"/>
      <c r="AB10" s="984"/>
      <c r="AC10" s="1295"/>
      <c r="AD10" s="15" t="s">
        <v>1901</v>
      </c>
      <c r="AE10" s="2196"/>
      <c r="AF10" s="15" t="s">
        <v>1901</v>
      </c>
      <c r="AG10" s="2196"/>
      <c r="AH10" s="15" t="s">
        <v>1902</v>
      </c>
      <c r="AI10" s="2196"/>
      <c r="AJ10" s="15" t="s">
        <v>1902</v>
      </c>
      <c r="AK10" s="2196"/>
      <c r="AL10" s="15" t="s">
        <v>1903</v>
      </c>
      <c r="AM10" s="1301"/>
      <c r="AN10" s="15" t="s">
        <v>1903</v>
      </c>
      <c r="AO10" s="1301"/>
      <c r="AP10" s="15" t="s">
        <v>1904</v>
      </c>
      <c r="AQ10" s="1301"/>
      <c r="AR10" s="15" t="s">
        <v>1904</v>
      </c>
      <c r="AS10" s="1301"/>
      <c r="AT10" s="2180"/>
      <c r="AU10" s="2180"/>
      <c r="AV10" s="1295"/>
      <c r="AW10" s="2163"/>
      <c r="AX10" s="1295"/>
      <c r="AY10" s="28"/>
      <c r="AZ10" s="28"/>
      <c r="BA10" s="2197" t="s">
        <v>1895</v>
      </c>
      <c r="BB10" s="2198"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t="s">
        <v>3176</v>
      </c>
      <c r="J11" s="2201"/>
      <c r="K11" s="2200" t="s">
        <v>3259</v>
      </c>
      <c r="L11" s="2201"/>
      <c r="M11" s="2200" t="s">
        <v>3260</v>
      </c>
      <c r="N11" s="2201"/>
      <c r="O11" s="2200" t="s">
        <v>3261</v>
      </c>
      <c r="P11" s="2201"/>
      <c r="Q11" s="2200"/>
      <c r="R11" s="2201"/>
      <c r="S11" s="2200"/>
      <c r="T11" s="2201"/>
      <c r="U11" s="2200"/>
      <c r="V11" s="2201"/>
      <c r="W11" s="2200"/>
      <c r="X11" s="2201"/>
      <c r="Y11" s="2200"/>
      <c r="Z11" s="2201"/>
      <c r="AA11" s="2200"/>
      <c r="AB11" s="2201"/>
      <c r="AC11" s="1295"/>
      <c r="AD11" s="2202" t="s">
        <v>1905</v>
      </c>
      <c r="AE11" s="1822"/>
      <c r="AF11" s="2202" t="s">
        <v>1905</v>
      </c>
      <c r="AG11" s="1822"/>
      <c r="AH11" s="2202" t="s">
        <v>1906</v>
      </c>
      <c r="AI11" s="2203"/>
      <c r="AJ11" s="2202" t="s">
        <v>1906</v>
      </c>
      <c r="AK11" s="1822"/>
      <c r="AL11" s="1820"/>
      <c r="AM11" s="1822"/>
      <c r="AN11" s="1820"/>
      <c r="AO11" s="1822"/>
      <c r="AP11" s="1820"/>
      <c r="AQ11" s="1822"/>
      <c r="AR11" s="1820"/>
      <c r="AS11" s="1822"/>
      <c r="AT11" s="2163"/>
      <c r="AU11" s="2180"/>
      <c r="AV11" s="1295"/>
      <c r="AW11" s="2163"/>
      <c r="AX11" s="1295"/>
      <c r="AY11" s="28"/>
      <c r="AZ11" s="28"/>
      <c r="BA11" s="28"/>
      <c r="BB11" s="2185" t="str">
        <f>I10</f>
        <v>商业</v>
      </c>
      <c r="BC11" s="2185" t="str">
        <f>K10</f>
        <v>住宅</v>
      </c>
      <c r="BD11" s="2185" t="str">
        <f>M10</f>
        <v>商业</v>
      </c>
      <c r="BE11" s="2185" t="str">
        <f>O10</f>
        <v>商业</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7"/>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公寓</v>
      </c>
      <c r="BC12" s="2210" t="str">
        <f>K11</f>
        <v>平层住宅</v>
      </c>
      <c r="BD12" s="2210" t="str">
        <f>M11</f>
        <v>底商</v>
      </c>
      <c r="BE12" s="2185" t="str">
        <f>O11</f>
        <v>独立商业</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2966" t="s">
        <v>3177</v>
      </c>
      <c r="D13" s="2211" t="s">
        <v>3060</v>
      </c>
      <c r="E13" s="16">
        <f>IF($C$3="是",ROUND($A$3*G13/$B$3,2),ROUND($A$3*(G13-AT13)/$B$3,2))</f>
        <v>7681.84</v>
      </c>
      <c r="F13" s="32"/>
      <c r="G13" s="33">
        <f>H13+AC13+AT13</f>
        <v>44886.34</v>
      </c>
      <c r="H13" s="20">
        <f>SUMIF(I$12:AB$12,"总值",I13:AB13)</f>
        <v>44886.34</v>
      </c>
      <c r="I13" s="2212">
        <f>抵押物范围!D79</f>
        <v>44886.34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公寓</v>
      </c>
      <c r="AY13" s="1809">
        <f>ROUND($AY$6*AZ13/$AZ$5,2)</f>
        <v>7681.84</v>
      </c>
      <c r="AZ13" s="16">
        <f>BA13+BL13</f>
        <v>44886.34</v>
      </c>
      <c r="BA13" s="16">
        <f>SUM(BB13:BK13)</f>
        <v>44886.34</v>
      </c>
      <c r="BB13" s="16">
        <f>IF($D13="是",I13-J13,0)</f>
        <v>44886.34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2978" t="s">
        <v>3257</v>
      </c>
      <c r="D14" s="2211" t="s">
        <v>3061</v>
      </c>
      <c r="E14" s="16">
        <f>IF($C$3="是",ROUND($A$3*G14/$B$3,2),ROUND($A$3*(G14-AT14)/$B$3,2))</f>
        <v>79346.47</v>
      </c>
      <c r="F14" s="32"/>
      <c r="G14" s="33">
        <f>H14+AC14+AT14</f>
        <v>463635.38</v>
      </c>
      <c r="H14" s="20">
        <f>SUMIF(I$12:AB$12,"总值",I14:AB14)</f>
        <v>461211.28</v>
      </c>
      <c r="I14" s="2212">
        <f>面积表!C68-'数据-基础表'!I13</f>
        <v>73014.680000000008</v>
      </c>
      <c r="J14" s="2212"/>
      <c r="K14" s="2212">
        <f>面积表!C65+面积表!C66+面积表!C67</f>
        <v>256642.67</v>
      </c>
      <c r="L14" s="2212"/>
      <c r="M14" s="2212">
        <f>面积表!C69</f>
        <v>6321.0599999999995</v>
      </c>
      <c r="N14" s="2212"/>
      <c r="O14" s="2212">
        <f>面积表!C70</f>
        <v>125232.87</v>
      </c>
      <c r="P14" s="2212"/>
      <c r="Q14" s="2212"/>
      <c r="R14" s="2212"/>
      <c r="S14" s="2212"/>
      <c r="T14" s="2212"/>
      <c r="U14" s="2212"/>
      <c r="V14" s="2212"/>
      <c r="W14" s="2212"/>
      <c r="X14" s="2212"/>
      <c r="Y14" s="2212"/>
      <c r="Z14" s="2212"/>
      <c r="AA14" s="2212"/>
      <c r="AB14" s="2212"/>
      <c r="AC14" s="16">
        <f>SUMIF(AD$12:AS$12,"总值",AD14:AS14)</f>
        <v>2424.1</v>
      </c>
      <c r="AD14" s="2213">
        <f>面积表!D54</f>
        <v>2424.1</v>
      </c>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抵押范围外</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80" zoomScaleNormal="80" workbookViewId="0">
      <selection activeCell="H66" sqref="H65:H66"/>
    </sheetView>
  </sheetViews>
  <sheetFormatPr defaultRowHeight="13.5"/>
  <cols>
    <col min="1" max="1" width="9" style="2950"/>
    <col min="2" max="2" width="12.5" style="2950" customWidth="1"/>
    <col min="3" max="3" width="12.25" style="2950" customWidth="1"/>
    <col min="4" max="4" width="17.875" style="2950" customWidth="1"/>
    <col min="5" max="5" width="13.375" style="2950" customWidth="1"/>
    <col min="6" max="6" width="9" style="2950"/>
    <col min="7" max="7" width="11.5" style="2950" customWidth="1"/>
    <col min="8" max="8" width="11.875" style="2950" customWidth="1"/>
    <col min="9" max="9" width="10.625" style="2950" customWidth="1"/>
    <col min="10" max="10" width="16.25" style="2950" customWidth="1"/>
    <col min="11" max="11" width="15.25" style="2950" customWidth="1"/>
    <col min="12" max="12" width="0" style="2950" hidden="1" customWidth="1"/>
    <col min="13" max="13" width="14.75" style="2950" customWidth="1"/>
    <col min="14" max="16" width="9" style="2950"/>
    <col min="17" max="17" width="12.25" style="2950" customWidth="1"/>
    <col min="18" max="18" width="13" style="2950" customWidth="1"/>
    <col min="19" max="16384" width="9" style="2950"/>
  </cols>
  <sheetData>
    <row r="1" spans="1:18">
      <c r="A1" s="2948" t="s">
        <v>3072</v>
      </c>
      <c r="B1" s="2948" t="s">
        <v>3073</v>
      </c>
      <c r="C1" s="2948" t="s">
        <v>3074</v>
      </c>
      <c r="D1" s="2948" t="s">
        <v>3075</v>
      </c>
      <c r="E1" s="2948" t="s">
        <v>3076</v>
      </c>
      <c r="F1" s="2949"/>
      <c r="G1" s="2949"/>
      <c r="H1" s="2949"/>
      <c r="I1" s="2949"/>
      <c r="J1" s="2949"/>
      <c r="N1" s="2948" t="s">
        <v>3072</v>
      </c>
      <c r="O1" s="2948" t="s">
        <v>3073</v>
      </c>
      <c r="P1" s="2948" t="s">
        <v>3074</v>
      </c>
      <c r="Q1" s="2948" t="s">
        <v>3075</v>
      </c>
      <c r="R1" s="2948" t="s">
        <v>3076</v>
      </c>
    </row>
    <row r="2" spans="1:18">
      <c r="A2" s="2948" t="s">
        <v>3077</v>
      </c>
      <c r="B2" s="2948"/>
      <c r="C2" s="2949">
        <v>87028.31</v>
      </c>
      <c r="D2" s="2949"/>
      <c r="E2" s="2949"/>
      <c r="F2" s="2949"/>
      <c r="G2" s="2949"/>
      <c r="H2" s="2949"/>
      <c r="I2" s="2949"/>
      <c r="J2" s="2949"/>
      <c r="N2" s="2951" t="s">
        <v>3078</v>
      </c>
      <c r="Q2" s="2950">
        <f>260375.88-7953.42-183000</f>
        <v>69422.459999999992</v>
      </c>
    </row>
    <row r="3" spans="1:18">
      <c r="A3" s="2948" t="s">
        <v>3079</v>
      </c>
      <c r="B3" s="2948" t="s">
        <v>3080</v>
      </c>
      <c r="C3" s="2949"/>
      <c r="D3" s="2949">
        <v>62949.45</v>
      </c>
      <c r="E3" s="2949"/>
      <c r="F3" s="2949"/>
      <c r="G3" s="2949"/>
      <c r="H3" s="2949"/>
      <c r="I3" s="2949"/>
      <c r="J3" s="2949"/>
      <c r="N3" s="2951" t="s">
        <v>3081</v>
      </c>
      <c r="Q3" s="2950">
        <v>7953.42</v>
      </c>
    </row>
    <row r="4" spans="1:18">
      <c r="A4" s="2948" t="s">
        <v>3082</v>
      </c>
      <c r="B4" s="2948" t="s">
        <v>3080</v>
      </c>
      <c r="C4" s="2949"/>
      <c r="D4" s="2949">
        <v>56522.68</v>
      </c>
      <c r="E4" s="2949"/>
      <c r="F4" s="2949"/>
      <c r="G4" s="2949"/>
      <c r="H4" s="2949"/>
      <c r="I4" s="2949"/>
      <c r="J4" s="2949"/>
      <c r="N4" s="2952" t="s">
        <v>3083</v>
      </c>
      <c r="Q4" s="2950">
        <v>131553.93</v>
      </c>
    </row>
    <row r="5" spans="1:18">
      <c r="A5" s="2948" t="s">
        <v>3084</v>
      </c>
      <c r="B5" s="2948" t="s">
        <v>3085</v>
      </c>
      <c r="C5" s="2949"/>
      <c r="D5" s="2949">
        <v>34009.230000000003</v>
      </c>
      <c r="E5" s="2949"/>
      <c r="F5" s="2949"/>
      <c r="G5" s="2949"/>
      <c r="H5" s="2949"/>
      <c r="I5" s="2949"/>
      <c r="J5" s="2949"/>
      <c r="N5" s="2952" t="s">
        <v>3080</v>
      </c>
      <c r="Q5" s="2950">
        <v>119472.13</v>
      </c>
    </row>
    <row r="6" spans="1:18">
      <c r="A6" s="2948" t="s">
        <v>3086</v>
      </c>
      <c r="B6" s="2948" t="s">
        <v>3085</v>
      </c>
      <c r="C6" s="2949"/>
      <c r="D6" s="2948">
        <f>13767.7-7953.42</f>
        <v>5814.2800000000007</v>
      </c>
      <c r="E6" s="2949"/>
      <c r="F6" s="2949"/>
      <c r="G6" s="2949"/>
      <c r="H6" s="2949"/>
      <c r="I6" s="2949"/>
      <c r="J6" s="2949"/>
      <c r="N6" s="2952" t="s">
        <v>3087</v>
      </c>
      <c r="R6" s="2953">
        <f>227445.27-22856.79</f>
        <v>204588.47999999998</v>
      </c>
    </row>
    <row r="7" spans="1:18">
      <c r="A7" s="2948" t="s">
        <v>3088</v>
      </c>
      <c r="B7" s="2948" t="s">
        <v>3085</v>
      </c>
      <c r="C7" s="2949"/>
      <c r="D7" s="2948">
        <v>20813.240000000002</v>
      </c>
      <c r="E7" s="2949"/>
      <c r="F7" s="2949"/>
      <c r="G7" s="2949"/>
      <c r="H7" s="2949"/>
      <c r="I7" s="2949"/>
      <c r="J7" s="2949"/>
      <c r="N7" s="2952" t="s">
        <v>3089</v>
      </c>
      <c r="R7" s="2953">
        <f>22856.79+192.48+1100.92+22716.64+20619.02</f>
        <v>67485.850000000006</v>
      </c>
    </row>
    <row r="8" spans="1:18">
      <c r="A8" s="2948" t="s">
        <v>3090</v>
      </c>
      <c r="B8" s="2948" t="s">
        <v>3085</v>
      </c>
      <c r="C8" s="2949"/>
      <c r="D8" s="2948">
        <v>32034.9</v>
      </c>
      <c r="E8" s="2949"/>
      <c r="F8" s="2949"/>
      <c r="G8" s="2949"/>
      <c r="H8" s="2949"/>
      <c r="I8" s="2949">
        <v>227445.27</v>
      </c>
      <c r="J8" s="2949"/>
      <c r="N8" s="2952" t="s">
        <v>3091</v>
      </c>
      <c r="Q8" s="2950">
        <v>183000</v>
      </c>
    </row>
    <row r="9" spans="1:18">
      <c r="A9" s="2948" t="s">
        <v>3092</v>
      </c>
      <c r="B9" s="2948" t="s">
        <v>3085</v>
      </c>
      <c r="C9" s="2949"/>
      <c r="D9" s="2948">
        <f>40039.38-3092.91</f>
        <v>36946.47</v>
      </c>
      <c r="E9" s="2949"/>
      <c r="F9" s="2948"/>
      <c r="G9" s="2949"/>
      <c r="H9" s="2949"/>
      <c r="I9" s="2949">
        <v>272074.33</v>
      </c>
      <c r="J9" s="2949"/>
    </row>
    <row r="10" spans="1:18">
      <c r="A10" s="2948" t="s">
        <v>3093</v>
      </c>
      <c r="B10" s="2948" t="s">
        <v>3085</v>
      </c>
      <c r="C10" s="2949"/>
      <c r="D10" s="2948">
        <f>40377.19-3101.38</f>
        <v>37275.810000000005</v>
      </c>
      <c r="E10" s="2949"/>
      <c r="F10" s="2948"/>
      <c r="G10" s="2949"/>
      <c r="H10" s="2949"/>
      <c r="I10" s="2949"/>
      <c r="J10" s="2949"/>
    </row>
    <row r="11" spans="1:18">
      <c r="A11" s="2948" t="s">
        <v>3094</v>
      </c>
      <c r="B11" s="2948" t="s">
        <v>3085</v>
      </c>
      <c r="C11" s="2949"/>
      <c r="D11" s="2948">
        <v>38051.279999999999</v>
      </c>
      <c r="E11" s="2949"/>
      <c r="F11" s="2948"/>
      <c r="G11" s="2949"/>
      <c r="H11" s="2949"/>
      <c r="I11" s="2949"/>
      <c r="J11" s="2949"/>
    </row>
    <row r="12" spans="1:18">
      <c r="A12" s="2948" t="s">
        <v>3095</v>
      </c>
      <c r="B12" s="2948" t="s">
        <v>3085</v>
      </c>
      <c r="C12" s="2949"/>
      <c r="D12" s="2948">
        <v>23750.14</v>
      </c>
      <c r="E12" s="2949"/>
      <c r="F12" s="2949"/>
      <c r="G12" s="2949"/>
      <c r="H12" s="2949"/>
      <c r="I12" s="2949"/>
      <c r="J12" s="2949"/>
    </row>
    <row r="13" spans="1:18">
      <c r="A13" s="2948" t="s">
        <v>3096</v>
      </c>
      <c r="B13" s="2948" t="s">
        <v>3085</v>
      </c>
      <c r="C13" s="2949"/>
      <c r="D13" s="2948">
        <v>23751.78</v>
      </c>
      <c r="E13" s="2949"/>
      <c r="F13" s="2949"/>
      <c r="G13" s="2949"/>
      <c r="H13" s="2949"/>
      <c r="I13" s="2949"/>
      <c r="J13" s="2949"/>
    </row>
    <row r="14" spans="1:18">
      <c r="A14" s="2948" t="s">
        <v>3081</v>
      </c>
      <c r="B14" s="2949"/>
      <c r="C14" s="2949"/>
      <c r="D14" s="2948">
        <v>7953.42</v>
      </c>
      <c r="E14" s="2949"/>
      <c r="F14" s="2949"/>
      <c r="G14" s="2949"/>
      <c r="H14" s="2949"/>
      <c r="I14" s="2949"/>
      <c r="J14" s="2949"/>
      <c r="N14" s="2951" t="s">
        <v>3097</v>
      </c>
    </row>
    <row r="15" spans="1:18">
      <c r="A15" s="2948" t="s">
        <v>3098</v>
      </c>
      <c r="B15" s="2948"/>
      <c r="C15" s="2949"/>
      <c r="D15" s="2948">
        <v>2433.1</v>
      </c>
      <c r="E15" s="2949"/>
      <c r="F15" s="2949"/>
      <c r="G15" s="2949"/>
      <c r="H15" s="2949"/>
      <c r="I15" s="2949"/>
      <c r="J15" s="2949"/>
      <c r="N15" s="2951"/>
      <c r="O15" s="2951" t="s">
        <v>3099</v>
      </c>
      <c r="P15" s="2951" t="s">
        <v>3100</v>
      </c>
    </row>
    <row r="16" spans="1:18">
      <c r="A16" s="2948" t="s">
        <v>3083</v>
      </c>
      <c r="B16" s="2948" t="s">
        <v>3083</v>
      </c>
      <c r="C16" s="2949"/>
      <c r="D16" s="2948">
        <v>131553.93</v>
      </c>
      <c r="E16" s="2949"/>
      <c r="F16" s="2949"/>
      <c r="G16" s="2949"/>
      <c r="H16" s="2949"/>
      <c r="I16" s="2948" t="s">
        <v>3101</v>
      </c>
      <c r="J16" s="2954" t="s">
        <v>3102</v>
      </c>
      <c r="N16" s="2951" t="s">
        <v>3078</v>
      </c>
    </row>
    <row r="17" spans="1:14">
      <c r="A17" s="2948" t="s">
        <v>3103</v>
      </c>
      <c r="B17" s="2948" t="s">
        <v>3104</v>
      </c>
      <c r="C17" s="2949"/>
      <c r="D17" s="2949"/>
      <c r="E17" s="2949">
        <f>227445.27-22856.79</f>
        <v>204588.47999999998</v>
      </c>
      <c r="F17" s="2948" t="s">
        <v>3105</v>
      </c>
      <c r="G17" s="2949"/>
      <c r="H17" s="2954" t="s">
        <v>3106</v>
      </c>
      <c r="I17" s="2955">
        <v>125359.64</v>
      </c>
      <c r="J17" s="2954" t="s">
        <v>3107</v>
      </c>
      <c r="N17" s="2951" t="s">
        <v>3081</v>
      </c>
    </row>
    <row r="18" spans="1:14">
      <c r="A18" s="2948" t="s">
        <v>3108</v>
      </c>
      <c r="B18" s="2949"/>
      <c r="C18" s="2949"/>
      <c r="D18" s="2949"/>
      <c r="E18" s="2949"/>
      <c r="F18" s="2949"/>
      <c r="G18" s="2949"/>
      <c r="H18" s="2954" t="s">
        <v>3109</v>
      </c>
      <c r="I18" s="2955">
        <v>3092.91</v>
      </c>
      <c r="J18" s="2954" t="s">
        <v>3110</v>
      </c>
      <c r="N18" s="2951" t="s">
        <v>3091</v>
      </c>
    </row>
    <row r="19" spans="1:14">
      <c r="A19" s="2948"/>
      <c r="B19" s="2948" t="s">
        <v>3111</v>
      </c>
      <c r="C19" s="2949"/>
      <c r="D19" s="2949"/>
      <c r="E19" s="2949"/>
      <c r="F19" s="2949"/>
      <c r="G19" s="2949"/>
      <c r="H19" s="2954" t="s">
        <v>3112</v>
      </c>
      <c r="I19" s="2955">
        <v>3101.38</v>
      </c>
      <c r="J19" s="2954" t="s">
        <v>3110</v>
      </c>
      <c r="N19" s="2951" t="s">
        <v>3113</v>
      </c>
    </row>
    <row r="20" spans="1:14">
      <c r="A20" s="2949"/>
      <c r="B20" s="2948" t="s">
        <v>3114</v>
      </c>
      <c r="C20" s="2949"/>
      <c r="D20" s="2956">
        <v>2097.56</v>
      </c>
      <c r="E20" s="2949"/>
      <c r="F20" s="2949"/>
      <c r="G20" s="2949"/>
      <c r="H20" s="2949"/>
      <c r="I20" s="2949"/>
      <c r="J20" s="2949"/>
      <c r="N20" s="2951" t="s">
        <v>3115</v>
      </c>
    </row>
    <row r="21" spans="1:14">
      <c r="A21" s="2949"/>
      <c r="B21" s="2948" t="s">
        <v>3116</v>
      </c>
      <c r="C21" s="2949"/>
      <c r="D21" s="2956">
        <v>324.39999999999998</v>
      </c>
      <c r="E21" s="2949"/>
      <c r="F21" s="2949"/>
      <c r="G21" s="2949"/>
      <c r="H21" s="2949"/>
      <c r="I21" s="2949"/>
      <c r="J21" s="2949"/>
      <c r="N21" s="2951" t="s">
        <v>3117</v>
      </c>
    </row>
    <row r="22" spans="1:14">
      <c r="A22" s="2949"/>
      <c r="B22" s="2948" t="s">
        <v>3118</v>
      </c>
      <c r="C22" s="2949"/>
      <c r="D22" s="2956">
        <v>617.02</v>
      </c>
      <c r="E22" s="2949"/>
      <c r="F22" s="2949"/>
      <c r="G22" s="2949"/>
      <c r="H22" s="2949"/>
      <c r="I22" s="2949"/>
      <c r="J22" s="2949"/>
    </row>
    <row r="23" spans="1:14">
      <c r="A23" s="2949"/>
      <c r="B23" s="2948" t="s">
        <v>3119</v>
      </c>
      <c r="C23" s="2949"/>
      <c r="D23" s="2956">
        <v>253.24</v>
      </c>
      <c r="E23" s="2949"/>
      <c r="F23" s="2949"/>
      <c r="G23" s="2949"/>
      <c r="H23" s="2949"/>
      <c r="I23" s="2949"/>
      <c r="J23" s="2949"/>
    </row>
    <row r="24" spans="1:14">
      <c r="A24" s="2949"/>
      <c r="B24" s="2948" t="s">
        <v>3120</v>
      </c>
      <c r="C24" s="2949"/>
      <c r="D24" s="2956">
        <v>42.81</v>
      </c>
      <c r="E24" s="2949"/>
      <c r="F24" s="2949"/>
      <c r="G24" s="2949"/>
      <c r="H24" s="2949"/>
      <c r="I24" s="2949"/>
      <c r="J24" s="2949"/>
    </row>
    <row r="25" spans="1:14">
      <c r="A25" s="2949"/>
      <c r="B25" s="2948" t="s">
        <v>3121</v>
      </c>
      <c r="C25" s="2949"/>
      <c r="D25" s="2956">
        <v>1042.42</v>
      </c>
      <c r="E25" s="2949"/>
      <c r="F25" s="2949"/>
      <c r="G25" s="2949"/>
      <c r="H25" s="2949"/>
      <c r="I25" s="2949"/>
      <c r="J25" s="2949"/>
    </row>
    <row r="26" spans="1:14">
      <c r="A26" s="2949"/>
      <c r="B26" s="2948" t="s">
        <v>3122</v>
      </c>
      <c r="C26" s="2949"/>
      <c r="D26" s="2956">
        <v>158.99</v>
      </c>
      <c r="E26" s="2949"/>
      <c r="F26" s="2949"/>
      <c r="G26" s="2949"/>
      <c r="H26" s="2949"/>
      <c r="I26" s="2949"/>
      <c r="J26" s="2949"/>
    </row>
    <row r="27" spans="1:14">
      <c r="A27" s="2949"/>
      <c r="B27" s="2948" t="s">
        <v>3123</v>
      </c>
      <c r="C27" s="2949"/>
      <c r="D27" s="2956">
        <v>87.26</v>
      </c>
      <c r="E27" s="2949"/>
      <c r="F27" s="2949"/>
      <c r="G27" s="2949"/>
      <c r="H27" s="2949"/>
      <c r="I27" s="2949"/>
      <c r="J27" s="2949"/>
    </row>
    <row r="28" spans="1:14">
      <c r="A28" s="2949"/>
      <c r="B28" s="2948" t="s">
        <v>3124</v>
      </c>
      <c r="C28" s="2949"/>
      <c r="D28" s="2956">
        <v>133.28</v>
      </c>
      <c r="E28" s="2949"/>
      <c r="F28" s="2949"/>
      <c r="G28" s="2949"/>
      <c r="H28" s="2949"/>
      <c r="I28" s="2949"/>
      <c r="J28" s="2949"/>
    </row>
    <row r="29" spans="1:14">
      <c r="A29" s="2949"/>
      <c r="B29" s="2948" t="s">
        <v>3125</v>
      </c>
      <c r="C29" s="2949"/>
      <c r="D29" s="2956">
        <v>76.72</v>
      </c>
      <c r="E29" s="2949"/>
      <c r="F29" s="2949"/>
      <c r="G29" s="2949"/>
      <c r="H29" s="2949"/>
      <c r="I29" s="2949"/>
      <c r="J29" s="2949"/>
    </row>
    <row r="30" spans="1:14">
      <c r="A30" s="2949"/>
      <c r="B30" s="2948" t="s">
        <v>3126</v>
      </c>
      <c r="C30" s="2949"/>
      <c r="D30" s="2956">
        <v>102</v>
      </c>
      <c r="E30" s="2949"/>
      <c r="F30" s="2949"/>
      <c r="G30" s="2949"/>
      <c r="H30" s="2949"/>
      <c r="I30" s="2949"/>
      <c r="J30" s="2949"/>
    </row>
    <row r="31" spans="1:14">
      <c r="A31" s="2949"/>
      <c r="B31" s="2948" t="s">
        <v>3127</v>
      </c>
      <c r="C31" s="2949"/>
      <c r="D31" s="2949"/>
      <c r="E31" s="2949">
        <v>22856.79</v>
      </c>
      <c r="F31" s="2949"/>
      <c r="G31" s="2949"/>
      <c r="H31" s="2949"/>
      <c r="I31" s="2949"/>
      <c r="J31" s="2949"/>
    </row>
    <row r="32" spans="1:14">
      <c r="A32" s="2949"/>
      <c r="B32" s="2948" t="s">
        <v>3128</v>
      </c>
      <c r="C32" s="2949"/>
      <c r="D32" s="2949"/>
      <c r="E32" s="2949">
        <v>22716.639999999999</v>
      </c>
      <c r="F32" s="2949"/>
      <c r="G32" s="2949"/>
      <c r="H32" s="2949"/>
      <c r="I32" s="2949"/>
      <c r="J32" s="2949"/>
    </row>
    <row r="33" spans="1:10">
      <c r="A33" s="2949"/>
      <c r="B33" s="2948" t="s">
        <v>3129</v>
      </c>
      <c r="C33" s="2949"/>
      <c r="D33" s="2949"/>
      <c r="E33" s="2949">
        <v>1100.92</v>
      </c>
      <c r="F33" s="2949"/>
      <c r="G33" s="2949"/>
      <c r="H33" s="2949"/>
      <c r="I33" s="2949"/>
      <c r="J33" s="2949"/>
    </row>
    <row r="34" spans="1:10">
      <c r="A34" s="2949"/>
      <c r="B34" s="2948" t="s">
        <v>3130</v>
      </c>
      <c r="C34" s="2949"/>
      <c r="E34" s="2949">
        <v>192.48</v>
      </c>
      <c r="F34" s="2949"/>
      <c r="G34" s="2949"/>
      <c r="H34" s="2949"/>
      <c r="I34" s="2949"/>
      <c r="J34" s="2949"/>
    </row>
    <row r="35" spans="1:10">
      <c r="A35" s="2949"/>
      <c r="B35" s="2948" t="s">
        <v>3131</v>
      </c>
      <c r="C35" s="2949"/>
      <c r="D35" s="2949"/>
      <c r="E35" s="2949">
        <v>20619.02</v>
      </c>
      <c r="F35" s="2949"/>
      <c r="G35" s="2949"/>
      <c r="H35" s="2949"/>
      <c r="I35" s="2949"/>
      <c r="J35" s="2949"/>
    </row>
    <row r="38" spans="1:10">
      <c r="A38" s="2957" t="s">
        <v>3132</v>
      </c>
    </row>
    <row r="39" spans="1:10">
      <c r="A39" s="2951"/>
      <c r="H39" s="2951" t="s">
        <v>3133</v>
      </c>
    </row>
    <row r="40" spans="1:10">
      <c r="A40" s="2948" t="s">
        <v>3072</v>
      </c>
      <c r="B40" s="2948" t="s">
        <v>3073</v>
      </c>
      <c r="C40" s="2948" t="s">
        <v>3074</v>
      </c>
      <c r="D40" s="2948" t="s">
        <v>3075</v>
      </c>
      <c r="E40" s="2948" t="s">
        <v>3076</v>
      </c>
      <c r="H40" s="2951" t="s">
        <v>3134</v>
      </c>
    </row>
    <row r="41" spans="1:10">
      <c r="A41" s="2948" t="s">
        <v>3077</v>
      </c>
      <c r="B41" s="2948"/>
      <c r="C41" s="2958">
        <v>87028.31</v>
      </c>
      <c r="D41" s="2949"/>
      <c r="E41" s="2949"/>
      <c r="H41" s="2951" t="s">
        <v>3135</v>
      </c>
    </row>
    <row r="42" spans="1:10">
      <c r="A42" s="2948" t="s">
        <v>3136</v>
      </c>
      <c r="B42" s="2948" t="s">
        <v>3137</v>
      </c>
      <c r="C42" s="2949"/>
      <c r="D42" s="2959">
        <v>61354.65</v>
      </c>
      <c r="E42" s="2949"/>
    </row>
    <row r="43" spans="1:10">
      <c r="A43" s="2948" t="s">
        <v>3082</v>
      </c>
      <c r="B43" s="2948" t="s">
        <v>3137</v>
      </c>
      <c r="C43" s="2949"/>
      <c r="D43" s="2959">
        <v>56546.37</v>
      </c>
      <c r="E43" s="2949"/>
    </row>
    <row r="44" spans="1:10">
      <c r="A44" s="2948" t="s">
        <v>3138</v>
      </c>
      <c r="B44" s="2948" t="s">
        <v>3139</v>
      </c>
      <c r="C44" s="2949"/>
      <c r="D44" s="2959">
        <v>34059.230000000003</v>
      </c>
      <c r="E44" s="2949"/>
    </row>
    <row r="45" spans="1:10">
      <c r="A45" s="2948" t="s">
        <v>3086</v>
      </c>
      <c r="B45" s="2948" t="s">
        <v>3139</v>
      </c>
      <c r="C45" s="2949"/>
      <c r="D45" s="2959">
        <f>2646.96+2856.64</f>
        <v>5503.6</v>
      </c>
      <c r="E45" s="2949"/>
    </row>
    <row r="46" spans="1:10">
      <c r="A46" s="2948" t="s">
        <v>3088</v>
      </c>
      <c r="B46" s="2948" t="s">
        <v>3139</v>
      </c>
      <c r="C46" s="2949"/>
      <c r="D46" s="2959">
        <v>20242.439999999999</v>
      </c>
      <c r="E46" s="2949"/>
    </row>
    <row r="47" spans="1:10">
      <c r="A47" s="2948" t="s">
        <v>3090</v>
      </c>
      <c r="B47" s="2948" t="s">
        <v>3139</v>
      </c>
      <c r="C47" s="2949"/>
      <c r="D47" s="2959">
        <v>31936.68</v>
      </c>
      <c r="E47" s="2949"/>
    </row>
    <row r="48" spans="1:10">
      <c r="A48" s="2948" t="s">
        <v>3092</v>
      </c>
      <c r="B48" s="2948" t="s">
        <v>3139</v>
      </c>
      <c r="C48" s="2949"/>
      <c r="D48" s="2959">
        <v>35993.199999999997</v>
      </c>
      <c r="E48" s="2949"/>
    </row>
    <row r="49" spans="1:8">
      <c r="A49" s="2948" t="s">
        <v>3093</v>
      </c>
      <c r="B49" s="2948" t="s">
        <v>3139</v>
      </c>
      <c r="C49" s="2949"/>
      <c r="D49" s="2959">
        <v>35987.71</v>
      </c>
      <c r="E49" s="2949"/>
    </row>
    <row r="50" spans="1:8">
      <c r="A50" s="2948" t="s">
        <v>3094</v>
      </c>
      <c r="B50" s="2948" t="s">
        <v>3139</v>
      </c>
      <c r="C50" s="2949"/>
      <c r="D50" s="2959">
        <v>37709.49</v>
      </c>
      <c r="E50" s="2949"/>
    </row>
    <row r="51" spans="1:8">
      <c r="A51" s="2948" t="s">
        <v>3095</v>
      </c>
      <c r="B51" s="2948" t="s">
        <v>3139</v>
      </c>
      <c r="C51" s="2949"/>
      <c r="D51" s="2959">
        <v>23588.25</v>
      </c>
      <c r="E51" s="2949"/>
    </row>
    <row r="52" spans="1:8">
      <c r="A52" s="2948" t="s">
        <v>3096</v>
      </c>
      <c r="B52" s="2948" t="s">
        <v>3139</v>
      </c>
      <c r="C52" s="2949"/>
      <c r="D52" s="2959">
        <v>23588.25</v>
      </c>
      <c r="E52" s="2949"/>
    </row>
    <row r="53" spans="1:8">
      <c r="A53" s="2948" t="s">
        <v>3140</v>
      </c>
      <c r="B53" s="2949"/>
      <c r="C53" s="2949"/>
      <c r="D53" s="2959">
        <v>8033.82</v>
      </c>
      <c r="E53" s="2949"/>
    </row>
    <row r="54" spans="1:8">
      <c r="A54" s="2948" t="s">
        <v>3141</v>
      </c>
      <c r="B54" s="2948"/>
      <c r="C54" s="2949"/>
      <c r="D54" s="2956">
        <v>2424.1</v>
      </c>
      <c r="E54" s="2949"/>
    </row>
    <row r="55" spans="1:8">
      <c r="C55" s="2951" t="s">
        <v>3142</v>
      </c>
      <c r="D55" s="2960">
        <f>SUM(D42:D43)</f>
        <v>117901.02</v>
      </c>
    </row>
    <row r="56" spans="1:8">
      <c r="C56" s="2951" t="s">
        <v>3143</v>
      </c>
      <c r="D56" s="2960">
        <f>SUM(D44:D52)</f>
        <v>248608.85</v>
      </c>
    </row>
    <row r="57" spans="1:8">
      <c r="C57" s="2951" t="s">
        <v>3144</v>
      </c>
      <c r="D57" s="2960">
        <v>183000</v>
      </c>
    </row>
    <row r="58" spans="1:8">
      <c r="C58" s="2952" t="s">
        <v>3145</v>
      </c>
      <c r="D58" s="2960">
        <f>D56-D57</f>
        <v>65608.850000000006</v>
      </c>
    </row>
    <row r="59" spans="1:8">
      <c r="C59" s="2952" t="s">
        <v>3146</v>
      </c>
      <c r="D59" s="2960">
        <f>3153.34+3167.72</f>
        <v>6321.0599999999995</v>
      </c>
    </row>
    <row r="61" spans="1:8">
      <c r="C61" s="2951" t="s">
        <v>3147</v>
      </c>
      <c r="D61" s="2950">
        <f>Q4-D59</f>
        <v>125232.87</v>
      </c>
    </row>
    <row r="63" spans="1:8">
      <c r="B63" s="3100" t="s">
        <v>3148</v>
      </c>
      <c r="C63" s="3101"/>
      <c r="D63" s="3102"/>
      <c r="G63" s="2951" t="s">
        <v>3149</v>
      </c>
    </row>
    <row r="64" spans="1:8">
      <c r="B64" s="2954"/>
      <c r="C64" s="2954" t="s">
        <v>3150</v>
      </c>
      <c r="D64" s="2954" t="s">
        <v>3151</v>
      </c>
      <c r="G64" s="2948" t="s">
        <v>3152</v>
      </c>
      <c r="H64" s="2949">
        <v>183000</v>
      </c>
    </row>
    <row r="65" spans="2:16">
      <c r="B65" s="2954" t="s">
        <v>3145</v>
      </c>
      <c r="C65" s="2955">
        <f>D58</f>
        <v>65608.850000000006</v>
      </c>
      <c r="D65" s="2955">
        <v>0</v>
      </c>
      <c r="G65" s="2948" t="s">
        <v>3153</v>
      </c>
      <c r="H65" s="2949">
        <v>32500</v>
      </c>
    </row>
    <row r="66" spans="2:16">
      <c r="B66" s="2954" t="s">
        <v>3081</v>
      </c>
      <c r="C66" s="2955">
        <f>D53</f>
        <v>8033.82</v>
      </c>
      <c r="D66" s="2955">
        <v>0</v>
      </c>
      <c r="G66" s="2948" t="s">
        <v>3154</v>
      </c>
      <c r="H66" s="2949">
        <v>12338</v>
      </c>
    </row>
    <row r="67" spans="2:16">
      <c r="B67" s="2954" t="s">
        <v>3091</v>
      </c>
      <c r="C67" s="2955">
        <f>D57</f>
        <v>183000</v>
      </c>
      <c r="D67" s="2955">
        <v>0</v>
      </c>
      <c r="G67" s="2948" t="s">
        <v>3155</v>
      </c>
      <c r="H67" s="2949">
        <v>3370</v>
      </c>
    </row>
    <row r="68" spans="2:16">
      <c r="B68" s="2954" t="s">
        <v>3113</v>
      </c>
      <c r="C68" s="2955">
        <f>D55</f>
        <v>117901.02</v>
      </c>
      <c r="D68" s="2955">
        <v>0</v>
      </c>
      <c r="G68" s="2952" t="s">
        <v>3156</v>
      </c>
      <c r="H68" s="2950">
        <f>H67+H66+H65+H64</f>
        <v>231208</v>
      </c>
    </row>
    <row r="69" spans="2:16">
      <c r="B69" s="2961" t="s">
        <v>3157</v>
      </c>
      <c r="C69" s="2955">
        <f>D59</f>
        <v>6321.0599999999995</v>
      </c>
      <c r="D69" s="2955">
        <v>0</v>
      </c>
    </row>
    <row r="70" spans="2:16">
      <c r="B70" s="2954" t="s">
        <v>3158</v>
      </c>
      <c r="C70" s="2955">
        <f>D61</f>
        <v>125232.87</v>
      </c>
      <c r="D70" s="2955">
        <v>0</v>
      </c>
    </row>
    <row r="71" spans="2:16">
      <c r="B71" s="2954" t="s">
        <v>3159</v>
      </c>
      <c r="C71" s="2955">
        <v>0</v>
      </c>
      <c r="D71" s="2955">
        <f>R6</f>
        <v>204588.47999999998</v>
      </c>
    </row>
    <row r="72" spans="2:16">
      <c r="B72" s="2961" t="s">
        <v>3160</v>
      </c>
      <c r="C72" s="2955">
        <f>SUM(D20:D30)+D54</f>
        <v>7359.8000000000011</v>
      </c>
      <c r="D72" s="2955">
        <v>0</v>
      </c>
    </row>
    <row r="73" spans="2:16">
      <c r="B73" s="2961" t="s">
        <v>3161</v>
      </c>
      <c r="C73" s="2955">
        <v>0</v>
      </c>
      <c r="D73" s="2955">
        <f>R7</f>
        <v>67485.850000000006</v>
      </c>
    </row>
    <row r="74" spans="2:16">
      <c r="B74" s="2961" t="s">
        <v>3162</v>
      </c>
      <c r="C74" s="2955">
        <f>SUM(C65:C73)</f>
        <v>513457.42</v>
      </c>
      <c r="D74" s="2955">
        <f>SUM(D65:D73)</f>
        <v>272074.32999999996</v>
      </c>
      <c r="G74" s="2962" t="s">
        <v>3163</v>
      </c>
      <c r="H74" s="2963"/>
      <c r="I74" s="2963"/>
      <c r="J74" s="2963"/>
      <c r="K74" s="2963"/>
      <c r="L74" s="2963"/>
      <c r="M74" s="2963"/>
      <c r="N74" s="2963"/>
      <c r="O74" s="2963"/>
      <c r="P74" s="2963"/>
    </row>
    <row r="75" spans="2:16">
      <c r="B75" s="2964"/>
      <c r="C75" s="2965"/>
      <c r="D75" s="2965"/>
      <c r="G75" s="2962"/>
      <c r="H75" s="2962" t="s">
        <v>3164</v>
      </c>
      <c r="I75" s="2962" t="s">
        <v>3165</v>
      </c>
      <c r="J75" s="2962" t="s">
        <v>3166</v>
      </c>
      <c r="K75" s="2962" t="s">
        <v>3167</v>
      </c>
      <c r="L75" s="2963"/>
      <c r="M75" s="2962" t="s">
        <v>3168</v>
      </c>
      <c r="N75" s="2962" t="s">
        <v>3169</v>
      </c>
      <c r="O75" s="2962" t="s">
        <v>3170</v>
      </c>
      <c r="P75" s="2962" t="s">
        <v>3162</v>
      </c>
    </row>
    <row r="76" spans="2:16">
      <c r="G76" s="2962" t="s">
        <v>3171</v>
      </c>
      <c r="H76" s="2963"/>
      <c r="I76" s="2963"/>
      <c r="J76" s="2963">
        <v>3316.76</v>
      </c>
      <c r="K76" s="2963">
        <v>20242.439999999999</v>
      </c>
      <c r="L76" s="2963"/>
      <c r="M76" s="2963">
        <v>9670.8799999999992</v>
      </c>
      <c r="N76" s="2963">
        <v>21672.5</v>
      </c>
      <c r="O76" s="2963">
        <v>10732.6</v>
      </c>
      <c r="P76" s="2963">
        <f>SUM(H76:O76)</f>
        <v>65635.179999999993</v>
      </c>
    </row>
    <row r="77" spans="2:16">
      <c r="G77" s="2962" t="s">
        <v>3172</v>
      </c>
      <c r="H77" s="2963">
        <f>D56-P76</f>
        <v>182973.67</v>
      </c>
      <c r="I77" s="2963"/>
      <c r="J77" s="2963"/>
      <c r="K77" s="2963"/>
      <c r="L77" s="2963"/>
      <c r="M77" s="2963"/>
      <c r="N77" s="2963"/>
      <c r="O77" s="2963"/>
      <c r="P77" s="2963">
        <f>H77</f>
        <v>182973.67</v>
      </c>
    </row>
    <row r="78" spans="2:16">
      <c r="G78" s="2962" t="s">
        <v>3173</v>
      </c>
      <c r="H78" s="2963">
        <v>36051.14</v>
      </c>
      <c r="I78" s="2963">
        <v>36963.54</v>
      </c>
      <c r="J78" s="2963"/>
      <c r="K78" s="2963"/>
      <c r="L78" s="2963"/>
      <c r="M78" s="2963"/>
      <c r="N78" s="2963"/>
      <c r="O78" s="2963"/>
      <c r="P78" s="2963">
        <f t="shared" ref="P78:P80" si="0">SUM(H78:O78)</f>
        <v>73014.679999999993</v>
      </c>
    </row>
    <row r="79" spans="2:16">
      <c r="G79" s="2962" t="s">
        <v>3174</v>
      </c>
      <c r="H79" s="2963">
        <f>D42-H78</f>
        <v>25303.510000000002</v>
      </c>
      <c r="I79" s="2963">
        <v>19582.830000000002</v>
      </c>
      <c r="J79" s="2963"/>
      <c r="K79" s="2963"/>
      <c r="L79" s="2963"/>
      <c r="M79" s="2963"/>
      <c r="N79" s="2963"/>
      <c r="O79" s="2963"/>
      <c r="P79" s="2963">
        <f t="shared" si="0"/>
        <v>44886.340000000004</v>
      </c>
    </row>
    <row r="80" spans="2:16">
      <c r="G80" s="2962" t="s">
        <v>3175</v>
      </c>
      <c r="H80" s="2963"/>
      <c r="I80" s="2963"/>
      <c r="J80" s="2963"/>
      <c r="K80" s="2963"/>
      <c r="L80" s="2963"/>
      <c r="M80" s="2963">
        <v>3153.34</v>
      </c>
      <c r="N80" s="2963">
        <v>3167.72</v>
      </c>
      <c r="O80" s="2963"/>
      <c r="P80" s="2963">
        <f t="shared" si="0"/>
        <v>6321.0599999999995</v>
      </c>
    </row>
    <row r="85" spans="8:8">
      <c r="H85" s="2950">
        <v>46058.98</v>
      </c>
    </row>
    <row r="86" spans="8:8">
      <c r="H86" s="2950">
        <f>H85-H79-I79</f>
        <v>1172.6399999999994</v>
      </c>
    </row>
  </sheetData>
  <mergeCells count="1">
    <mergeCell ref="B63:D63"/>
  </mergeCells>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24"/>
  <sheetViews>
    <sheetView topLeftCell="A63" workbookViewId="0">
      <selection activeCell="J97" sqref="J97"/>
    </sheetView>
  </sheetViews>
  <sheetFormatPr defaultRowHeight="13.5"/>
  <cols>
    <col min="2" max="2" width="9" customWidth="1"/>
  </cols>
  <sheetData>
    <row r="1" spans="1:38" ht="18.75">
      <c r="A1" s="3112" t="s">
        <v>3179</v>
      </c>
      <c r="B1" s="3107"/>
      <c r="C1" s="3107"/>
      <c r="D1" s="3107"/>
      <c r="E1" s="3107"/>
      <c r="F1" s="3107"/>
      <c r="G1" s="3107"/>
      <c r="H1" s="3107"/>
      <c r="I1" s="3107"/>
      <c r="J1" s="3107"/>
      <c r="K1" s="3107"/>
      <c r="L1" s="3107"/>
      <c r="M1" s="3107"/>
      <c r="N1" s="3107"/>
      <c r="O1" s="3107"/>
      <c r="P1" s="3107"/>
      <c r="Q1" s="3107"/>
      <c r="R1" s="3107"/>
      <c r="S1" s="3107"/>
      <c r="T1" s="3107"/>
      <c r="U1" s="3107"/>
      <c r="V1" s="3107"/>
      <c r="W1" s="3107"/>
      <c r="X1" s="3107"/>
      <c r="Y1" s="3107"/>
      <c r="Z1" s="3107"/>
      <c r="AA1" s="3107"/>
      <c r="AB1" s="3107"/>
      <c r="AC1" s="3107"/>
      <c r="AD1" s="3107"/>
      <c r="AE1" s="3107"/>
      <c r="AF1" s="3107"/>
      <c r="AG1" s="3107"/>
      <c r="AH1" s="3107"/>
      <c r="AI1" s="3107"/>
      <c r="AJ1" s="3107"/>
      <c r="AK1" s="3107"/>
      <c r="AL1" s="3107"/>
    </row>
    <row r="2" spans="1:38">
      <c r="A2" s="2967" t="s">
        <v>3385</v>
      </c>
      <c r="B2" s="2967"/>
      <c r="C2" s="2967"/>
      <c r="D2" s="2967"/>
      <c r="E2" s="2967"/>
      <c r="F2" s="2967"/>
      <c r="G2" s="2967"/>
      <c r="H2" s="3110" t="s">
        <v>3181</v>
      </c>
      <c r="I2" s="3110"/>
      <c r="J2" s="3110"/>
      <c r="AH2" s="3113"/>
      <c r="AI2" s="3113"/>
      <c r="AJ2" s="3113"/>
      <c r="AK2" s="3113"/>
      <c r="AL2" s="3113"/>
    </row>
    <row r="3" spans="1:38">
      <c r="A3" s="2968" t="s">
        <v>3182</v>
      </c>
      <c r="B3" s="2968" t="s">
        <v>3183</v>
      </c>
      <c r="C3" s="2968" t="s">
        <v>3184</v>
      </c>
      <c r="D3" s="2968" t="s">
        <v>3185</v>
      </c>
      <c r="E3" s="2968" t="s">
        <v>3186</v>
      </c>
      <c r="F3" s="2968" t="s">
        <v>3187</v>
      </c>
      <c r="G3" s="2968" t="s">
        <v>3188</v>
      </c>
      <c r="H3" s="2968" t="s">
        <v>3189</v>
      </c>
      <c r="I3" s="2968" t="s">
        <v>3190</v>
      </c>
      <c r="J3" s="2968" t="s">
        <v>3191</v>
      </c>
      <c r="K3" s="2968" t="s">
        <v>3192</v>
      </c>
      <c r="L3" s="2968" t="s">
        <v>3193</v>
      </c>
      <c r="M3" s="2968" t="s">
        <v>3194</v>
      </c>
      <c r="N3" s="2968" t="s">
        <v>3195</v>
      </c>
      <c r="O3" s="2968" t="s">
        <v>3196</v>
      </c>
      <c r="P3" s="2968" t="s">
        <v>3197</v>
      </c>
      <c r="Q3" s="2968" t="s">
        <v>3198</v>
      </c>
      <c r="R3" s="2968" t="s">
        <v>3199</v>
      </c>
      <c r="S3" s="2968" t="s">
        <v>3200</v>
      </c>
      <c r="T3" s="2968" t="s">
        <v>3201</v>
      </c>
      <c r="U3" s="2968" t="s">
        <v>3202</v>
      </c>
      <c r="V3" s="2968" t="s">
        <v>3203</v>
      </c>
      <c r="W3" s="2968" t="s">
        <v>3204</v>
      </c>
      <c r="X3" s="2968" t="s">
        <v>3205</v>
      </c>
      <c r="Y3" s="2968" t="s">
        <v>3206</v>
      </c>
      <c r="Z3" s="2968" t="s">
        <v>3207</v>
      </c>
      <c r="AA3" s="2968" t="s">
        <v>3208</v>
      </c>
      <c r="AB3" s="2968" t="s">
        <v>3209</v>
      </c>
      <c r="AC3" s="2968" t="s">
        <v>3210</v>
      </c>
      <c r="AD3" s="2968" t="s">
        <v>3211</v>
      </c>
      <c r="AE3" s="2968" t="s">
        <v>3212</v>
      </c>
      <c r="AF3" s="2968" t="s">
        <v>3213</v>
      </c>
      <c r="AG3" s="2968" t="s">
        <v>3214</v>
      </c>
      <c r="AH3" s="2968" t="s">
        <v>3215</v>
      </c>
      <c r="AI3" s="2968" t="s">
        <v>3216</v>
      </c>
      <c r="AJ3" s="2968" t="s">
        <v>3217</v>
      </c>
      <c r="AK3" s="2968" t="s">
        <v>3218</v>
      </c>
      <c r="AL3" s="2968" t="s">
        <v>3219</v>
      </c>
    </row>
    <row r="4" spans="1:38">
      <c r="A4" s="2968" t="s">
        <v>3220</v>
      </c>
      <c r="B4" s="2968" t="s">
        <v>27</v>
      </c>
      <c r="C4" s="2968" t="s">
        <v>27</v>
      </c>
      <c r="D4" s="2968" t="s">
        <v>27</v>
      </c>
      <c r="E4" s="2968" t="s">
        <v>27</v>
      </c>
      <c r="F4" s="2968" t="s">
        <v>27</v>
      </c>
      <c r="G4" s="2968" t="s">
        <v>27</v>
      </c>
      <c r="H4" s="2968" t="s">
        <v>27</v>
      </c>
      <c r="I4" s="2968" t="s">
        <v>27</v>
      </c>
      <c r="J4" s="2968" t="s">
        <v>27</v>
      </c>
      <c r="K4" s="2968" t="s">
        <v>27</v>
      </c>
      <c r="L4" s="2968" t="s">
        <v>27</v>
      </c>
      <c r="M4" s="2968" t="s">
        <v>27</v>
      </c>
      <c r="N4" s="2968" t="s">
        <v>27</v>
      </c>
      <c r="O4" s="2968" t="s">
        <v>27</v>
      </c>
      <c r="P4" s="2968" t="s">
        <v>27</v>
      </c>
      <c r="Q4" s="2968" t="s">
        <v>27</v>
      </c>
      <c r="R4" s="2968" t="s">
        <v>27</v>
      </c>
      <c r="S4" s="2968" t="s">
        <v>27</v>
      </c>
      <c r="T4" s="2968" t="s">
        <v>27</v>
      </c>
      <c r="U4" s="2968" t="s">
        <v>27</v>
      </c>
      <c r="V4" s="2968" t="s">
        <v>27</v>
      </c>
      <c r="W4" s="2968" t="s">
        <v>27</v>
      </c>
      <c r="X4" s="2968" t="s">
        <v>27</v>
      </c>
      <c r="Y4" s="2968" t="s">
        <v>27</v>
      </c>
      <c r="Z4" s="2968" t="s">
        <v>27</v>
      </c>
      <c r="AA4" s="2968" t="s">
        <v>27</v>
      </c>
      <c r="AB4" s="2968" t="s">
        <v>27</v>
      </c>
      <c r="AC4" s="2968" t="s">
        <v>27</v>
      </c>
      <c r="AD4" s="2968" t="s">
        <v>27</v>
      </c>
      <c r="AE4" s="2968" t="s">
        <v>27</v>
      </c>
      <c r="AF4" s="2968" t="s">
        <v>27</v>
      </c>
      <c r="AG4" s="2968" t="s">
        <v>27</v>
      </c>
      <c r="AH4" s="2968" t="s">
        <v>27</v>
      </c>
      <c r="AI4" s="2968" t="s">
        <v>27</v>
      </c>
      <c r="AJ4" s="2968" t="s">
        <v>27</v>
      </c>
      <c r="AK4" s="2968" t="s">
        <v>27</v>
      </c>
      <c r="AL4" s="2968" t="s">
        <v>27</v>
      </c>
    </row>
    <row r="5" spans="1:38">
      <c r="A5" s="2968" t="s">
        <v>3221</v>
      </c>
      <c r="B5" s="2968">
        <v>43.56</v>
      </c>
      <c r="C5" s="2968">
        <v>47.97</v>
      </c>
      <c r="D5" s="2968">
        <v>47.97</v>
      </c>
      <c r="E5" s="2968">
        <v>47.97</v>
      </c>
      <c r="F5" s="2968">
        <v>47.97</v>
      </c>
      <c r="G5" s="2968">
        <v>47.97</v>
      </c>
      <c r="H5" s="2968">
        <v>47.97</v>
      </c>
      <c r="I5" s="2968">
        <v>47.97</v>
      </c>
      <c r="J5" s="2968">
        <v>47.97</v>
      </c>
      <c r="K5" s="2968">
        <v>47.97</v>
      </c>
      <c r="L5" s="2968">
        <v>47.97</v>
      </c>
      <c r="M5" s="2968">
        <v>47.97</v>
      </c>
      <c r="N5" s="2968">
        <v>47.97</v>
      </c>
      <c r="O5" s="2968">
        <v>47.97</v>
      </c>
      <c r="P5" s="2968">
        <v>47.97</v>
      </c>
      <c r="Q5" s="2968">
        <v>39.54</v>
      </c>
      <c r="R5" s="2968">
        <v>56.7</v>
      </c>
      <c r="S5" s="2968">
        <v>54.08</v>
      </c>
      <c r="T5" s="2968">
        <v>54.08</v>
      </c>
      <c r="U5" s="2968">
        <v>54.08</v>
      </c>
      <c r="V5" s="2968">
        <v>54.08</v>
      </c>
      <c r="W5" s="2968">
        <v>54.08</v>
      </c>
      <c r="X5" s="2968">
        <v>58.14</v>
      </c>
      <c r="Y5" s="2968">
        <v>55.63</v>
      </c>
      <c r="Z5" s="2968">
        <v>48.54</v>
      </c>
      <c r="AA5" s="2968">
        <v>48.64</v>
      </c>
      <c r="AB5" s="2968">
        <v>55.71</v>
      </c>
      <c r="AC5" s="2968">
        <v>330.9</v>
      </c>
      <c r="AD5" s="2968">
        <v>255.71</v>
      </c>
      <c r="AE5" s="2968">
        <v>172.61</v>
      </c>
      <c r="AF5" s="2968">
        <v>127.81</v>
      </c>
      <c r="AG5" s="2968">
        <v>245.4</v>
      </c>
      <c r="AH5" s="2968">
        <v>115.82</v>
      </c>
      <c r="AI5" s="2968">
        <v>112.64</v>
      </c>
      <c r="AJ5" s="3114"/>
      <c r="AK5" s="3114"/>
      <c r="AL5" s="3114"/>
    </row>
    <row r="6" spans="1:38">
      <c r="A6" s="2969" t="s">
        <v>3222</v>
      </c>
      <c r="B6" s="2969">
        <v>2501</v>
      </c>
      <c r="C6" s="2969">
        <v>2502</v>
      </c>
      <c r="D6" s="2969">
        <v>2503</v>
      </c>
      <c r="E6" s="2969">
        <v>2504</v>
      </c>
      <c r="F6" s="2969">
        <v>2505</v>
      </c>
      <c r="G6" s="2969">
        <v>2506</v>
      </c>
      <c r="H6" s="2969">
        <v>2507</v>
      </c>
      <c r="I6" s="2969">
        <v>2508</v>
      </c>
      <c r="J6" s="2969">
        <v>2509</v>
      </c>
      <c r="K6" s="2969">
        <v>2510</v>
      </c>
      <c r="L6" s="2969">
        <v>2511</v>
      </c>
      <c r="M6" s="2969">
        <v>2512</v>
      </c>
      <c r="N6" s="2969">
        <v>2513</v>
      </c>
      <c r="O6" s="2969">
        <v>2514</v>
      </c>
      <c r="P6" s="2969">
        <v>2515</v>
      </c>
      <c r="Q6" s="2969">
        <v>2516</v>
      </c>
      <c r="R6" s="2969">
        <v>2517</v>
      </c>
      <c r="S6" s="2969">
        <v>2518</v>
      </c>
      <c r="T6" s="2969">
        <v>2519</v>
      </c>
      <c r="U6" s="2969">
        <v>2520</v>
      </c>
      <c r="V6" s="2969">
        <v>2521</v>
      </c>
      <c r="W6" s="2969">
        <v>2522</v>
      </c>
      <c r="X6" s="2969">
        <v>2523</v>
      </c>
      <c r="Y6" s="2969">
        <v>2524</v>
      </c>
      <c r="Z6" s="2969">
        <v>2525</v>
      </c>
      <c r="AA6" s="2969">
        <v>2526</v>
      </c>
      <c r="AB6" s="2969">
        <v>2527</v>
      </c>
      <c r="AC6" s="2969">
        <v>2528</v>
      </c>
      <c r="AD6" s="2969">
        <v>2529</v>
      </c>
      <c r="AE6" s="2969">
        <v>2530</v>
      </c>
      <c r="AF6" s="2969">
        <v>2531</v>
      </c>
      <c r="AG6" s="2969">
        <v>2532</v>
      </c>
      <c r="AH6" s="2969">
        <v>2533</v>
      </c>
      <c r="AI6" s="2969">
        <v>2534</v>
      </c>
      <c r="AJ6" s="3114"/>
      <c r="AK6" s="3114"/>
      <c r="AL6" s="3114"/>
    </row>
    <row r="7" spans="1:38">
      <c r="A7" s="2969" t="s">
        <v>3223</v>
      </c>
      <c r="B7" s="2969">
        <v>2401</v>
      </c>
      <c r="C7" s="2969">
        <v>2402</v>
      </c>
      <c r="D7" s="2969">
        <v>2403</v>
      </c>
      <c r="E7" s="2969">
        <v>2404</v>
      </c>
      <c r="F7" s="2969">
        <v>2405</v>
      </c>
      <c r="G7" s="2969">
        <v>2406</v>
      </c>
      <c r="H7" s="2969">
        <v>2407</v>
      </c>
      <c r="I7" s="2969">
        <v>2408</v>
      </c>
      <c r="J7" s="2969">
        <v>2409</v>
      </c>
      <c r="K7" s="2969">
        <v>2410</v>
      </c>
      <c r="L7" s="2969">
        <v>2411</v>
      </c>
      <c r="M7" s="2969">
        <v>2412</v>
      </c>
      <c r="N7" s="2969">
        <v>2413</v>
      </c>
      <c r="O7" s="2969">
        <v>2414</v>
      </c>
      <c r="P7" s="2969">
        <v>2415</v>
      </c>
      <c r="Q7" s="2969">
        <v>2416</v>
      </c>
      <c r="R7" s="2969">
        <v>2417</v>
      </c>
      <c r="S7" s="2969">
        <v>2418</v>
      </c>
      <c r="T7" s="2969">
        <v>2419</v>
      </c>
      <c r="U7" s="2969">
        <v>2420</v>
      </c>
      <c r="V7" s="2969">
        <v>2421</v>
      </c>
      <c r="W7" s="2969">
        <v>2422</v>
      </c>
      <c r="X7" s="2969">
        <v>2423</v>
      </c>
      <c r="Y7" s="2969">
        <v>2424</v>
      </c>
      <c r="Z7" s="2969">
        <v>2425</v>
      </c>
      <c r="AA7" s="2969">
        <v>2426</v>
      </c>
      <c r="AB7" s="2969">
        <v>2427</v>
      </c>
      <c r="AC7" s="2969">
        <v>2428</v>
      </c>
      <c r="AD7" s="2969">
        <v>2429</v>
      </c>
      <c r="AE7" s="2969">
        <v>2430</v>
      </c>
      <c r="AF7" s="2969">
        <v>2431</v>
      </c>
      <c r="AG7" s="2969">
        <v>2432</v>
      </c>
      <c r="AH7" s="2969">
        <v>2433</v>
      </c>
      <c r="AI7" s="2969">
        <v>2434</v>
      </c>
      <c r="AJ7" s="3114"/>
      <c r="AK7" s="3114"/>
      <c r="AL7" s="3114"/>
    </row>
    <row r="8" spans="1:38">
      <c r="A8" s="2969" t="s">
        <v>3224</v>
      </c>
      <c r="B8" s="2969">
        <v>2301</v>
      </c>
      <c r="C8" s="2969">
        <v>2302</v>
      </c>
      <c r="D8" s="2969">
        <v>2303</v>
      </c>
      <c r="E8" s="2969">
        <v>2304</v>
      </c>
      <c r="F8" s="2969">
        <v>2305</v>
      </c>
      <c r="G8" s="2969">
        <v>2306</v>
      </c>
      <c r="H8" s="2969">
        <v>2307</v>
      </c>
      <c r="I8" s="2969">
        <v>2308</v>
      </c>
      <c r="J8" s="2969">
        <v>2309</v>
      </c>
      <c r="K8" s="2969">
        <v>2310</v>
      </c>
      <c r="L8" s="2969">
        <v>2311</v>
      </c>
      <c r="M8" s="2969">
        <v>2312</v>
      </c>
      <c r="N8" s="2969">
        <v>2313</v>
      </c>
      <c r="O8" s="2969">
        <v>2314</v>
      </c>
      <c r="P8" s="2969">
        <v>2315</v>
      </c>
      <c r="Q8" s="2969">
        <v>2316</v>
      </c>
      <c r="R8" s="2969">
        <v>2317</v>
      </c>
      <c r="S8" s="2969">
        <v>2318</v>
      </c>
      <c r="T8" s="2969">
        <v>2319</v>
      </c>
      <c r="U8" s="2969">
        <v>2320</v>
      </c>
      <c r="V8" s="2969">
        <v>2321</v>
      </c>
      <c r="W8" s="2969">
        <v>2322</v>
      </c>
      <c r="X8" s="2969">
        <v>2323</v>
      </c>
      <c r="Y8" s="2969">
        <v>2324</v>
      </c>
      <c r="Z8" s="2969">
        <v>2325</v>
      </c>
      <c r="AA8" s="2969">
        <v>2326</v>
      </c>
      <c r="AB8" s="2969">
        <v>2327</v>
      </c>
      <c r="AC8" s="2969">
        <v>2328</v>
      </c>
      <c r="AD8" s="2969">
        <v>2329</v>
      </c>
      <c r="AE8" s="2969">
        <v>2330</v>
      </c>
      <c r="AF8" s="2969">
        <v>2331</v>
      </c>
      <c r="AG8" s="2969">
        <v>2332</v>
      </c>
      <c r="AH8" s="2969">
        <v>2333</v>
      </c>
      <c r="AI8" s="2969">
        <v>2334</v>
      </c>
      <c r="AJ8" s="3114"/>
      <c r="AK8" s="3114"/>
      <c r="AL8" s="3114"/>
    </row>
    <row r="9" spans="1:38">
      <c r="A9" s="2969" t="s">
        <v>3225</v>
      </c>
      <c r="B9" s="2969">
        <v>2201</v>
      </c>
      <c r="C9" s="2969">
        <v>2202</v>
      </c>
      <c r="D9" s="2969">
        <v>2203</v>
      </c>
      <c r="E9" s="2969">
        <v>2204</v>
      </c>
      <c r="F9" s="2969">
        <v>2205</v>
      </c>
      <c r="G9" s="2969">
        <v>2206</v>
      </c>
      <c r="H9" s="2969">
        <v>2207</v>
      </c>
      <c r="I9" s="2969">
        <v>2208</v>
      </c>
      <c r="J9" s="2969">
        <v>2209</v>
      </c>
      <c r="K9" s="2969">
        <v>2210</v>
      </c>
      <c r="L9" s="2969">
        <v>2211</v>
      </c>
      <c r="M9" s="2969">
        <v>2212</v>
      </c>
      <c r="N9" s="2969">
        <v>2213</v>
      </c>
      <c r="O9" s="2969">
        <v>2214</v>
      </c>
      <c r="P9" s="2969">
        <v>2215</v>
      </c>
      <c r="Q9" s="2969">
        <v>2216</v>
      </c>
      <c r="R9" s="2969">
        <v>2217</v>
      </c>
      <c r="S9" s="2969">
        <v>2218</v>
      </c>
      <c r="T9" s="2969">
        <v>2219</v>
      </c>
      <c r="U9" s="2969">
        <v>2220</v>
      </c>
      <c r="V9" s="2969">
        <v>2221</v>
      </c>
      <c r="W9" s="2969">
        <v>2222</v>
      </c>
      <c r="X9" s="2969">
        <v>2223</v>
      </c>
      <c r="Y9" s="2969">
        <v>2224</v>
      </c>
      <c r="Z9" s="2969">
        <v>2225</v>
      </c>
      <c r="AA9" s="2969">
        <v>2226</v>
      </c>
      <c r="AB9" s="2969">
        <v>2227</v>
      </c>
      <c r="AC9" s="2969">
        <v>2228</v>
      </c>
      <c r="AD9" s="2969">
        <v>2229</v>
      </c>
      <c r="AE9" s="2969">
        <v>2230</v>
      </c>
      <c r="AF9" s="2969">
        <v>2231</v>
      </c>
      <c r="AG9" s="2969">
        <v>2231</v>
      </c>
      <c r="AH9" s="2969">
        <v>2233</v>
      </c>
      <c r="AI9" s="2969">
        <v>2234</v>
      </c>
      <c r="AJ9" s="3114"/>
      <c r="AK9" s="3114"/>
      <c r="AL9" s="3114"/>
    </row>
    <row r="10" spans="1:38">
      <c r="A10" s="2969" t="s">
        <v>3226</v>
      </c>
      <c r="B10" s="2969">
        <v>2101</v>
      </c>
      <c r="C10" s="2969">
        <v>2102</v>
      </c>
      <c r="D10" s="2969">
        <v>2103</v>
      </c>
      <c r="E10" s="2969">
        <v>2104</v>
      </c>
      <c r="F10" s="2969">
        <v>2105</v>
      </c>
      <c r="G10" s="2969">
        <v>2106</v>
      </c>
      <c r="H10" s="2969">
        <v>2107</v>
      </c>
      <c r="I10" s="2969">
        <v>2108</v>
      </c>
      <c r="J10" s="2969">
        <v>2109</v>
      </c>
      <c r="K10" s="2969">
        <v>2110</v>
      </c>
      <c r="L10" s="2969">
        <v>2111</v>
      </c>
      <c r="M10" s="2969">
        <v>2112</v>
      </c>
      <c r="N10" s="2969">
        <v>2113</v>
      </c>
      <c r="O10" s="2969">
        <v>2114</v>
      </c>
      <c r="P10" s="2969">
        <v>2115</v>
      </c>
      <c r="Q10" s="2969">
        <v>2116</v>
      </c>
      <c r="R10" s="2969">
        <v>2117</v>
      </c>
      <c r="S10" s="2969">
        <v>2118</v>
      </c>
      <c r="T10" s="2969">
        <v>2119</v>
      </c>
      <c r="U10" s="2969">
        <v>2120</v>
      </c>
      <c r="V10" s="2969">
        <v>2121</v>
      </c>
      <c r="W10" s="2969">
        <v>2122</v>
      </c>
      <c r="X10" s="2969">
        <v>2123</v>
      </c>
      <c r="Y10" s="2969">
        <v>2124</v>
      </c>
      <c r="Z10" s="2969">
        <v>2125</v>
      </c>
      <c r="AA10" s="2969">
        <v>2126</v>
      </c>
      <c r="AB10" s="2969">
        <v>2127</v>
      </c>
      <c r="AC10" s="2969">
        <v>2128</v>
      </c>
      <c r="AD10" s="2969">
        <v>2129</v>
      </c>
      <c r="AE10" s="2969">
        <v>2130</v>
      </c>
      <c r="AF10" s="2969">
        <v>2131</v>
      </c>
      <c r="AG10" s="2969">
        <v>2132</v>
      </c>
      <c r="AH10" s="2969">
        <v>2133</v>
      </c>
      <c r="AI10" s="2969">
        <v>2134</v>
      </c>
      <c r="AJ10" s="3114"/>
      <c r="AK10" s="3114"/>
      <c r="AL10" s="3114"/>
    </row>
    <row r="11" spans="1:38">
      <c r="A11" s="2969" t="s">
        <v>3227</v>
      </c>
      <c r="B11" s="2969">
        <v>2001</v>
      </c>
      <c r="C11" s="2969">
        <v>2002</v>
      </c>
      <c r="D11" s="2969">
        <v>2003</v>
      </c>
      <c r="E11" s="2969">
        <v>2004</v>
      </c>
      <c r="F11" s="2969">
        <v>2005</v>
      </c>
      <c r="G11" s="2969">
        <v>2006</v>
      </c>
      <c r="H11" s="2969">
        <v>2007</v>
      </c>
      <c r="I11" s="2969">
        <v>2008</v>
      </c>
      <c r="J11" s="2969">
        <v>2009</v>
      </c>
      <c r="K11" s="2969">
        <v>2010</v>
      </c>
      <c r="L11" s="2969">
        <v>2011</v>
      </c>
      <c r="M11" s="2969">
        <v>2012</v>
      </c>
      <c r="N11" s="2969">
        <v>2013</v>
      </c>
      <c r="O11" s="2969">
        <v>2014</v>
      </c>
      <c r="P11" s="2969">
        <v>2015</v>
      </c>
      <c r="Q11" s="2969">
        <v>2016</v>
      </c>
      <c r="R11" s="2969">
        <v>2017</v>
      </c>
      <c r="S11" s="2969">
        <v>2018</v>
      </c>
      <c r="T11" s="2969">
        <v>2019</v>
      </c>
      <c r="U11" s="2969">
        <v>2020</v>
      </c>
      <c r="V11" s="2969">
        <v>2021</v>
      </c>
      <c r="W11" s="2969">
        <v>2022</v>
      </c>
      <c r="X11" s="2969">
        <v>2023</v>
      </c>
      <c r="Y11" s="2969">
        <v>2024</v>
      </c>
      <c r="Z11" s="2969">
        <v>2025</v>
      </c>
      <c r="AA11" s="2969">
        <v>2026</v>
      </c>
      <c r="AB11" s="2969">
        <v>2027</v>
      </c>
      <c r="AC11" s="2969">
        <v>2028</v>
      </c>
      <c r="AD11" s="2969">
        <v>2029</v>
      </c>
      <c r="AE11" s="2969">
        <v>2030</v>
      </c>
      <c r="AF11" s="2969">
        <v>2031</v>
      </c>
      <c r="AG11" s="2969">
        <v>2032</v>
      </c>
      <c r="AH11" s="2969">
        <v>2033</v>
      </c>
      <c r="AI11" s="2969">
        <v>2034</v>
      </c>
      <c r="AJ11" s="3114"/>
      <c r="AK11" s="3114"/>
      <c r="AL11" s="3114"/>
    </row>
    <row r="12" spans="1:38">
      <c r="A12" s="2969" t="s">
        <v>3228</v>
      </c>
      <c r="B12" s="2969">
        <v>1901</v>
      </c>
      <c r="C12" s="2969">
        <v>1902</v>
      </c>
      <c r="D12" s="2969">
        <v>1903</v>
      </c>
      <c r="E12" s="2969">
        <v>1904</v>
      </c>
      <c r="F12" s="2969">
        <v>1905</v>
      </c>
      <c r="G12" s="2969">
        <v>1906</v>
      </c>
      <c r="H12" s="2969">
        <v>1907</v>
      </c>
      <c r="I12" s="2969">
        <v>1908</v>
      </c>
      <c r="J12" s="2969">
        <v>1909</v>
      </c>
      <c r="K12" s="2969">
        <v>1910</v>
      </c>
      <c r="L12" s="2969">
        <v>1911</v>
      </c>
      <c r="M12" s="2969">
        <v>1912</v>
      </c>
      <c r="N12" s="2969">
        <v>1913</v>
      </c>
      <c r="O12" s="2969">
        <v>1914</v>
      </c>
      <c r="P12" s="2969">
        <v>1915</v>
      </c>
      <c r="Q12" s="2969">
        <v>1916</v>
      </c>
      <c r="R12" s="2969">
        <v>1917</v>
      </c>
      <c r="S12" s="2969">
        <v>1918</v>
      </c>
      <c r="T12" s="2969">
        <v>1919</v>
      </c>
      <c r="U12" s="2969">
        <v>1920</v>
      </c>
      <c r="V12" s="2969">
        <v>1921</v>
      </c>
      <c r="W12" s="2969">
        <v>1922</v>
      </c>
      <c r="X12" s="2969">
        <v>1923</v>
      </c>
      <c r="Y12" s="2969">
        <v>1924</v>
      </c>
      <c r="Z12" s="2969">
        <v>1925</v>
      </c>
      <c r="AA12" s="2969">
        <v>1926</v>
      </c>
      <c r="AB12" s="2969">
        <v>1927</v>
      </c>
      <c r="AC12" s="2969">
        <v>1928</v>
      </c>
      <c r="AD12" s="2969">
        <v>1929</v>
      </c>
      <c r="AE12" s="2969">
        <v>1930</v>
      </c>
      <c r="AF12" s="2969">
        <v>1931</v>
      </c>
      <c r="AG12" s="2969">
        <v>1932</v>
      </c>
      <c r="AH12" s="2969">
        <v>1933</v>
      </c>
      <c r="AI12" s="2969">
        <v>1934</v>
      </c>
      <c r="AJ12" s="3114"/>
      <c r="AK12" s="3114"/>
      <c r="AL12" s="3114"/>
    </row>
    <row r="13" spans="1:38">
      <c r="A13" s="2969" t="s">
        <v>3229</v>
      </c>
      <c r="B13" s="2969">
        <v>1801</v>
      </c>
      <c r="C13" s="2969">
        <v>1802</v>
      </c>
      <c r="D13" s="2969">
        <v>1803</v>
      </c>
      <c r="E13" s="2969">
        <v>1804</v>
      </c>
      <c r="F13" s="2969">
        <v>1805</v>
      </c>
      <c r="G13" s="2969">
        <v>1806</v>
      </c>
      <c r="H13" s="2969">
        <v>1807</v>
      </c>
      <c r="I13" s="2969">
        <v>1808</v>
      </c>
      <c r="J13" s="2969">
        <v>1809</v>
      </c>
      <c r="K13" s="2969">
        <v>1810</v>
      </c>
      <c r="L13" s="2969">
        <v>1811</v>
      </c>
      <c r="M13" s="2969">
        <v>1812</v>
      </c>
      <c r="N13" s="2969">
        <v>1813</v>
      </c>
      <c r="O13" s="2969">
        <v>1814</v>
      </c>
      <c r="P13" s="2969">
        <v>1815</v>
      </c>
      <c r="Q13" s="2969">
        <v>1816</v>
      </c>
      <c r="R13" s="2969">
        <v>1817</v>
      </c>
      <c r="S13" s="2969">
        <v>1818</v>
      </c>
      <c r="T13" s="2969">
        <v>1819</v>
      </c>
      <c r="U13" s="2969">
        <v>1820</v>
      </c>
      <c r="V13" s="2969">
        <v>1821</v>
      </c>
      <c r="W13" s="2969">
        <v>1822</v>
      </c>
      <c r="X13" s="2969">
        <v>1823</v>
      </c>
      <c r="Y13" s="2969">
        <v>1824</v>
      </c>
      <c r="Z13" s="2969">
        <v>1825</v>
      </c>
      <c r="AA13" s="2969">
        <v>1826</v>
      </c>
      <c r="AB13" s="2969">
        <v>1827</v>
      </c>
      <c r="AC13" s="2969">
        <v>1828</v>
      </c>
      <c r="AD13" s="2969">
        <v>1829</v>
      </c>
      <c r="AE13" s="2969">
        <v>1830</v>
      </c>
      <c r="AF13" s="2969">
        <v>1831</v>
      </c>
      <c r="AG13" s="2969">
        <v>1832</v>
      </c>
      <c r="AH13" s="2969">
        <v>1833</v>
      </c>
      <c r="AI13" s="2969">
        <v>1834</v>
      </c>
      <c r="AJ13" s="3114"/>
      <c r="AK13" s="3114"/>
      <c r="AL13" s="3114"/>
    </row>
    <row r="14" spans="1:38">
      <c r="A14" s="2969" t="s">
        <v>3230</v>
      </c>
      <c r="B14" s="2969">
        <v>1701</v>
      </c>
      <c r="C14" s="2969">
        <v>1702</v>
      </c>
      <c r="D14" s="2969">
        <v>1703</v>
      </c>
      <c r="E14" s="2969">
        <v>1704</v>
      </c>
      <c r="F14" s="2969">
        <v>1705</v>
      </c>
      <c r="G14" s="2969">
        <v>1706</v>
      </c>
      <c r="H14" s="2969">
        <v>1707</v>
      </c>
      <c r="I14" s="2969">
        <v>1708</v>
      </c>
      <c r="J14" s="2969">
        <v>1709</v>
      </c>
      <c r="K14" s="2969">
        <v>1710</v>
      </c>
      <c r="L14" s="2969">
        <v>1711</v>
      </c>
      <c r="M14" s="2969">
        <v>1712</v>
      </c>
      <c r="N14" s="2969">
        <v>1713</v>
      </c>
      <c r="O14" s="2969">
        <v>1714</v>
      </c>
      <c r="P14" s="2969">
        <v>1715</v>
      </c>
      <c r="Q14" s="2969">
        <v>1716</v>
      </c>
      <c r="R14" s="2969">
        <v>1717</v>
      </c>
      <c r="S14" s="2969">
        <v>1718</v>
      </c>
      <c r="T14" s="2969">
        <v>1719</v>
      </c>
      <c r="U14" s="2969">
        <v>1720</v>
      </c>
      <c r="V14" s="2969">
        <v>1721</v>
      </c>
      <c r="W14" s="2969">
        <v>1722</v>
      </c>
      <c r="X14" s="2969">
        <v>1723</v>
      </c>
      <c r="Y14" s="2969">
        <v>1724</v>
      </c>
      <c r="Z14" s="2969">
        <v>1725</v>
      </c>
      <c r="AA14" s="2969">
        <v>1726</v>
      </c>
      <c r="AB14" s="2969">
        <v>1727</v>
      </c>
      <c r="AC14" s="2969">
        <v>1728</v>
      </c>
      <c r="AD14" s="2969">
        <v>1729</v>
      </c>
      <c r="AE14" s="2969">
        <v>1730</v>
      </c>
      <c r="AF14" s="2969">
        <v>1731</v>
      </c>
      <c r="AG14" s="2969">
        <v>1732</v>
      </c>
      <c r="AH14" s="2969">
        <v>1733</v>
      </c>
      <c r="AI14" s="2969">
        <v>1734</v>
      </c>
      <c r="AJ14" s="3114"/>
      <c r="AK14" s="3114"/>
      <c r="AL14" s="3114"/>
    </row>
    <row r="15" spans="1:38">
      <c r="A15" s="2969" t="s">
        <v>3231</v>
      </c>
      <c r="B15" s="2969">
        <v>1601</v>
      </c>
      <c r="C15" s="2969">
        <v>1602</v>
      </c>
      <c r="D15" s="2969">
        <v>1603</v>
      </c>
      <c r="E15" s="2969">
        <v>1604</v>
      </c>
      <c r="F15" s="2969">
        <v>1605</v>
      </c>
      <c r="G15" s="2969">
        <v>1606</v>
      </c>
      <c r="H15" s="2969">
        <v>1607</v>
      </c>
      <c r="I15" s="2969">
        <v>1608</v>
      </c>
      <c r="J15" s="2969">
        <v>1609</v>
      </c>
      <c r="K15" s="2969">
        <v>1610</v>
      </c>
      <c r="L15" s="2969">
        <v>1611</v>
      </c>
      <c r="M15" s="2969">
        <v>1612</v>
      </c>
      <c r="N15" s="2969">
        <v>1613</v>
      </c>
      <c r="O15" s="2969">
        <v>1614</v>
      </c>
      <c r="P15" s="2969">
        <v>1615</v>
      </c>
      <c r="Q15" s="2969">
        <v>1616</v>
      </c>
      <c r="R15" s="2969">
        <v>1617</v>
      </c>
      <c r="S15" s="2969">
        <v>1618</v>
      </c>
      <c r="T15" s="2969">
        <v>1619</v>
      </c>
      <c r="U15" s="2970">
        <v>1620</v>
      </c>
      <c r="V15" s="2970">
        <v>1621</v>
      </c>
      <c r="W15" s="2970">
        <v>1622</v>
      </c>
      <c r="X15" s="2970">
        <v>1623</v>
      </c>
      <c r="Y15" s="2970">
        <v>1624</v>
      </c>
      <c r="Z15" s="2970">
        <v>1625</v>
      </c>
      <c r="AA15" s="2970">
        <v>1626</v>
      </c>
      <c r="AB15" s="2970">
        <v>1627</v>
      </c>
      <c r="AC15" s="2970">
        <v>1628</v>
      </c>
      <c r="AD15" s="2970">
        <v>1629</v>
      </c>
      <c r="AE15" s="2970">
        <v>1630</v>
      </c>
      <c r="AF15" s="2970">
        <v>1631</v>
      </c>
      <c r="AG15" s="2970">
        <v>1632</v>
      </c>
      <c r="AH15" s="2970">
        <v>1633</v>
      </c>
      <c r="AI15" s="2970">
        <v>1634</v>
      </c>
      <c r="AJ15" s="3114"/>
      <c r="AK15" s="3114"/>
      <c r="AL15" s="3114"/>
    </row>
    <row r="16" spans="1:38">
      <c r="A16" s="2970" t="s">
        <v>3221</v>
      </c>
      <c r="B16" s="2970">
        <v>45.04</v>
      </c>
      <c r="C16" s="2970">
        <v>49.37</v>
      </c>
      <c r="D16" s="2970">
        <v>49.37</v>
      </c>
      <c r="E16" s="2970">
        <v>49.37</v>
      </c>
      <c r="F16" s="2970">
        <v>49.37</v>
      </c>
      <c r="G16" s="2970">
        <v>49.37</v>
      </c>
      <c r="H16" s="2970">
        <v>49.37</v>
      </c>
      <c r="I16" s="2970">
        <v>49.37</v>
      </c>
      <c r="J16" s="2970">
        <v>49.37</v>
      </c>
      <c r="K16" s="2970">
        <v>49.37</v>
      </c>
      <c r="L16" s="2970">
        <v>49.37</v>
      </c>
      <c r="M16" s="2970">
        <v>49.37</v>
      </c>
      <c r="N16" s="2970">
        <v>49.37</v>
      </c>
      <c r="O16" s="2970">
        <v>49.37</v>
      </c>
      <c r="P16" s="2970">
        <v>49.37</v>
      </c>
      <c r="Q16" s="2970">
        <v>40.700000000000003</v>
      </c>
      <c r="R16" s="2970">
        <v>58.36</v>
      </c>
      <c r="S16" s="2970">
        <v>55.66</v>
      </c>
      <c r="T16" s="2970">
        <v>55.66</v>
      </c>
      <c r="U16" s="2970">
        <v>55.66</v>
      </c>
      <c r="V16" s="2970">
        <v>55.66</v>
      </c>
      <c r="W16" s="2970">
        <v>55.66</v>
      </c>
      <c r="X16" s="2970">
        <v>59.84</v>
      </c>
      <c r="Y16" s="2970">
        <v>57.26</v>
      </c>
      <c r="Z16" s="2970">
        <v>49.95</v>
      </c>
      <c r="AA16" s="2970">
        <v>50.06</v>
      </c>
      <c r="AB16" s="2970">
        <v>57.34</v>
      </c>
      <c r="AC16" s="2970">
        <v>340.57</v>
      </c>
      <c r="AD16" s="2970">
        <v>263.19</v>
      </c>
      <c r="AE16" s="2970">
        <v>177.65</v>
      </c>
      <c r="AF16" s="2970">
        <v>131.58000000000001</v>
      </c>
      <c r="AG16" s="2970">
        <v>156.6</v>
      </c>
      <c r="AH16" s="2970">
        <v>138.65</v>
      </c>
      <c r="AI16" s="2970">
        <v>374.53</v>
      </c>
      <c r="AJ16" s="3114"/>
      <c r="AK16" s="3114"/>
      <c r="AL16" s="3114"/>
    </row>
    <row r="17" spans="1:38">
      <c r="A17" s="2970" t="s">
        <v>3232</v>
      </c>
      <c r="B17" s="2970">
        <v>1501</v>
      </c>
      <c r="C17" s="2970">
        <v>1502</v>
      </c>
      <c r="D17" s="2970">
        <v>1503</v>
      </c>
      <c r="E17" s="2970">
        <v>1504</v>
      </c>
      <c r="F17" s="2970">
        <v>1505</v>
      </c>
      <c r="G17" s="2970">
        <v>1506</v>
      </c>
      <c r="H17" s="2970">
        <v>1507</v>
      </c>
      <c r="I17" s="2970">
        <v>1508</v>
      </c>
      <c r="J17" s="2970">
        <v>1509</v>
      </c>
      <c r="K17" s="2970">
        <v>1510</v>
      </c>
      <c r="L17" s="2970">
        <v>1511</v>
      </c>
      <c r="M17" s="2970">
        <v>1512</v>
      </c>
      <c r="N17" s="2970">
        <v>1513</v>
      </c>
      <c r="O17" s="2970">
        <v>1514</v>
      </c>
      <c r="P17" s="2970">
        <v>1515</v>
      </c>
      <c r="Q17" s="2970">
        <v>1516</v>
      </c>
      <c r="R17" s="2970">
        <v>1517</v>
      </c>
      <c r="S17" s="2970">
        <v>1518</v>
      </c>
      <c r="T17" s="2970">
        <v>1519</v>
      </c>
      <c r="U17" s="2970">
        <v>1520</v>
      </c>
      <c r="V17" s="2970">
        <v>1521</v>
      </c>
      <c r="W17" s="2970">
        <v>1522</v>
      </c>
      <c r="X17" s="2970">
        <v>1523</v>
      </c>
      <c r="Y17" s="2970">
        <v>1524</v>
      </c>
      <c r="Z17" s="2970">
        <v>1525</v>
      </c>
      <c r="AA17" s="2970">
        <v>1526</v>
      </c>
      <c r="AB17" s="2970">
        <v>1527</v>
      </c>
      <c r="AC17" s="2970">
        <v>1528</v>
      </c>
      <c r="AD17" s="2970">
        <v>1529</v>
      </c>
      <c r="AE17" s="2970">
        <v>1530</v>
      </c>
      <c r="AF17" s="2970">
        <v>1531</v>
      </c>
      <c r="AG17" s="2970">
        <v>1532</v>
      </c>
      <c r="AH17" s="2970">
        <v>1533</v>
      </c>
      <c r="AI17" s="2970">
        <v>1534</v>
      </c>
      <c r="AJ17" s="3114"/>
      <c r="AK17" s="3114"/>
      <c r="AL17" s="3114"/>
    </row>
    <row r="18" spans="1:38">
      <c r="A18" s="2970" t="s">
        <v>3221</v>
      </c>
      <c r="B18" s="2970">
        <v>47.18</v>
      </c>
      <c r="C18" s="2970">
        <v>61.32</v>
      </c>
      <c r="D18" s="2970">
        <v>45.84</v>
      </c>
      <c r="E18" s="2970">
        <v>50.24</v>
      </c>
      <c r="F18" s="2970">
        <v>50.24</v>
      </c>
      <c r="G18" s="2970">
        <v>50.24</v>
      </c>
      <c r="H18" s="2970">
        <v>50.24</v>
      </c>
      <c r="I18" s="2970">
        <v>50.24</v>
      </c>
      <c r="J18" s="2970">
        <v>50.24</v>
      </c>
      <c r="K18" s="2970">
        <v>50.24</v>
      </c>
      <c r="L18" s="2970">
        <v>50.24</v>
      </c>
      <c r="M18" s="2970">
        <v>50.24</v>
      </c>
      <c r="N18" s="2970">
        <v>50.24</v>
      </c>
      <c r="O18" s="2970">
        <v>50.24</v>
      </c>
      <c r="P18" s="2970">
        <v>50.24</v>
      </c>
      <c r="Q18" s="2970">
        <v>50.24</v>
      </c>
      <c r="R18" s="2970">
        <v>50.24</v>
      </c>
      <c r="S18" s="2970">
        <v>41.42</v>
      </c>
      <c r="T18" s="2970">
        <v>59.38</v>
      </c>
      <c r="U18" s="2970">
        <v>56.64</v>
      </c>
      <c r="V18" s="2970">
        <v>56.64</v>
      </c>
      <c r="W18" s="2970">
        <v>56.64</v>
      </c>
      <c r="X18" s="2970">
        <v>56.64</v>
      </c>
      <c r="Y18" s="2970">
        <v>56.64</v>
      </c>
      <c r="Z18" s="2970">
        <v>60.89</v>
      </c>
      <c r="AA18" s="2970">
        <v>58.27</v>
      </c>
      <c r="AB18" s="2970">
        <v>50.83</v>
      </c>
      <c r="AC18" s="2970">
        <v>50.94</v>
      </c>
      <c r="AD18" s="2970">
        <v>58.35</v>
      </c>
      <c r="AE18" s="2970">
        <v>346.57</v>
      </c>
      <c r="AF18" s="2970">
        <v>267.82</v>
      </c>
      <c r="AG18" s="2970">
        <v>180.78</v>
      </c>
      <c r="AH18" s="2970">
        <v>133.88999999999999</v>
      </c>
      <c r="AI18" s="2970">
        <v>159.36000000000001</v>
      </c>
      <c r="AJ18" s="2970">
        <v>187.1</v>
      </c>
      <c r="AK18" s="2970">
        <v>201.96</v>
      </c>
      <c r="AL18" s="3111"/>
    </row>
    <row r="19" spans="1:38">
      <c r="A19" s="2970" t="s">
        <v>3233</v>
      </c>
      <c r="B19" s="2970">
        <v>1401</v>
      </c>
      <c r="C19" s="2970">
        <v>1402</v>
      </c>
      <c r="D19" s="2970">
        <v>1403</v>
      </c>
      <c r="E19" s="2970">
        <v>1404</v>
      </c>
      <c r="F19" s="2970">
        <v>1405</v>
      </c>
      <c r="G19" s="2970">
        <v>1406</v>
      </c>
      <c r="H19" s="2970">
        <v>1407</v>
      </c>
      <c r="I19" s="2970">
        <v>1408</v>
      </c>
      <c r="J19" s="2970">
        <v>1409</v>
      </c>
      <c r="K19" s="2970">
        <v>1410</v>
      </c>
      <c r="L19" s="2970">
        <v>1411</v>
      </c>
      <c r="M19" s="2970">
        <v>1412</v>
      </c>
      <c r="N19" s="2970">
        <v>1413</v>
      </c>
      <c r="O19" s="2970">
        <v>1414</v>
      </c>
      <c r="P19" s="2970">
        <v>1415</v>
      </c>
      <c r="Q19" s="2970">
        <v>1416</v>
      </c>
      <c r="R19" s="2970">
        <v>1417</v>
      </c>
      <c r="S19" s="2970">
        <v>1418</v>
      </c>
      <c r="T19" s="2970">
        <v>1419</v>
      </c>
      <c r="U19" s="2970">
        <v>1420</v>
      </c>
      <c r="V19" s="2970">
        <v>1421</v>
      </c>
      <c r="W19" s="2970">
        <v>1422</v>
      </c>
      <c r="X19" s="2970">
        <v>1423</v>
      </c>
      <c r="Y19" s="2970">
        <v>1424</v>
      </c>
      <c r="Z19" s="2970">
        <v>1425</v>
      </c>
      <c r="AA19" s="2970">
        <v>1426</v>
      </c>
      <c r="AB19" s="2970">
        <v>1427</v>
      </c>
      <c r="AC19" s="2970">
        <v>1428</v>
      </c>
      <c r="AD19" s="2970">
        <v>1429</v>
      </c>
      <c r="AE19" s="2970">
        <v>1430</v>
      </c>
      <c r="AF19" s="2970">
        <v>1431</v>
      </c>
      <c r="AG19" s="2970">
        <v>1432</v>
      </c>
      <c r="AH19" s="2970">
        <v>1433</v>
      </c>
      <c r="AI19" s="2970">
        <v>1434</v>
      </c>
      <c r="AJ19" s="2970">
        <v>1435</v>
      </c>
      <c r="AK19" s="2970">
        <v>1436</v>
      </c>
      <c r="AL19" s="3111"/>
    </row>
    <row r="20" spans="1:38">
      <c r="A20" s="2970" t="s">
        <v>3221</v>
      </c>
      <c r="B20" s="2970">
        <v>47.61</v>
      </c>
      <c r="C20" s="2970">
        <v>36.1</v>
      </c>
      <c r="D20" s="2970">
        <v>37.729999999999997</v>
      </c>
      <c r="E20" s="2970">
        <v>45.77</v>
      </c>
      <c r="F20" s="2970">
        <v>50.16</v>
      </c>
      <c r="G20" s="2970">
        <v>50.16</v>
      </c>
      <c r="H20" s="2970">
        <v>50.16</v>
      </c>
      <c r="I20" s="2970">
        <v>50.16</v>
      </c>
      <c r="J20" s="2970">
        <v>50.16</v>
      </c>
      <c r="K20" s="2970">
        <v>50.16</v>
      </c>
      <c r="L20" s="2970">
        <v>50.16</v>
      </c>
      <c r="M20" s="2970">
        <v>50.16</v>
      </c>
      <c r="N20" s="2970">
        <v>50.16</v>
      </c>
      <c r="O20" s="2970">
        <v>50.16</v>
      </c>
      <c r="P20" s="2970">
        <v>50.16</v>
      </c>
      <c r="Q20" s="2970">
        <v>50.16</v>
      </c>
      <c r="R20" s="2970">
        <v>50.16</v>
      </c>
      <c r="S20" s="2970">
        <v>50.16</v>
      </c>
      <c r="T20" s="2970">
        <v>41.35</v>
      </c>
      <c r="U20" s="2970">
        <v>59.29</v>
      </c>
      <c r="V20" s="2970">
        <v>56.55</v>
      </c>
      <c r="W20" s="2970">
        <v>56.55</v>
      </c>
      <c r="X20" s="2970">
        <v>56.55</v>
      </c>
      <c r="Y20" s="2970">
        <v>56.55</v>
      </c>
      <c r="Z20" s="2970">
        <v>56.55</v>
      </c>
      <c r="AA20" s="2970">
        <v>60.8</v>
      </c>
      <c r="AB20" s="2970">
        <v>58.18</v>
      </c>
      <c r="AC20" s="2970">
        <v>50.76</v>
      </c>
      <c r="AD20" s="2970">
        <v>50.86</v>
      </c>
      <c r="AE20" s="2970">
        <v>58.26</v>
      </c>
      <c r="AF20" s="2970">
        <v>346.03</v>
      </c>
      <c r="AG20" s="2970">
        <v>267.41000000000003</v>
      </c>
      <c r="AH20" s="2970">
        <v>180.5</v>
      </c>
      <c r="AI20" s="2970">
        <v>133.69</v>
      </c>
      <c r="AJ20" s="2970">
        <v>159.11000000000001</v>
      </c>
      <c r="AK20" s="2970">
        <v>187.75</v>
      </c>
      <c r="AL20" s="2970">
        <v>209.82</v>
      </c>
    </row>
    <row r="21" spans="1:38">
      <c r="A21" s="2970" t="s">
        <v>3234</v>
      </c>
      <c r="B21" s="2970">
        <v>1301</v>
      </c>
      <c r="C21" s="2970">
        <v>1302</v>
      </c>
      <c r="D21" s="2970">
        <v>1303</v>
      </c>
      <c r="E21" s="2970">
        <v>1304</v>
      </c>
      <c r="F21" s="2970">
        <v>1305</v>
      </c>
      <c r="G21" s="2970">
        <v>1306</v>
      </c>
      <c r="H21" s="2970">
        <v>1307</v>
      </c>
      <c r="I21" s="2970">
        <v>1308</v>
      </c>
      <c r="J21" s="2970">
        <v>1309</v>
      </c>
      <c r="K21" s="2970">
        <v>1310</v>
      </c>
      <c r="L21" s="2970">
        <v>1311</v>
      </c>
      <c r="M21" s="2970">
        <v>1312</v>
      </c>
      <c r="N21" s="2970">
        <v>1313</v>
      </c>
      <c r="O21" s="2970">
        <v>1314</v>
      </c>
      <c r="P21" s="2970">
        <v>1315</v>
      </c>
      <c r="Q21" s="2970">
        <v>1316</v>
      </c>
      <c r="R21" s="2970">
        <v>1317</v>
      </c>
      <c r="S21" s="2970">
        <v>1318</v>
      </c>
      <c r="T21" s="2970">
        <v>1319</v>
      </c>
      <c r="U21" s="2970">
        <v>1320</v>
      </c>
      <c r="V21" s="2970">
        <v>1321</v>
      </c>
      <c r="W21" s="2970">
        <v>1322</v>
      </c>
      <c r="X21" s="2970">
        <v>1323</v>
      </c>
      <c r="Y21" s="2970">
        <v>1324</v>
      </c>
      <c r="Z21" s="2970">
        <v>1325</v>
      </c>
      <c r="AA21" s="2970">
        <v>1326</v>
      </c>
      <c r="AB21" s="2970">
        <v>1327</v>
      </c>
      <c r="AC21" s="2970">
        <v>1328</v>
      </c>
      <c r="AD21" s="2970">
        <v>1329</v>
      </c>
      <c r="AE21" s="2970">
        <v>1330</v>
      </c>
      <c r="AF21" s="2970">
        <v>1331</v>
      </c>
      <c r="AG21" s="2970">
        <v>1332</v>
      </c>
      <c r="AH21" s="2970">
        <v>1333</v>
      </c>
      <c r="AI21" s="2970">
        <v>1334</v>
      </c>
      <c r="AJ21" s="2970">
        <v>1335</v>
      </c>
      <c r="AK21" s="2970">
        <v>1336</v>
      </c>
      <c r="AL21" s="2970">
        <v>1337</v>
      </c>
    </row>
    <row r="22" spans="1:38">
      <c r="A22" s="2970" t="s">
        <v>3221</v>
      </c>
      <c r="B22" s="2970">
        <v>48.44</v>
      </c>
      <c r="C22" s="2970">
        <v>36.97</v>
      </c>
      <c r="D22" s="2970">
        <v>38.76</v>
      </c>
      <c r="E22" s="2970">
        <v>45.65</v>
      </c>
      <c r="F22" s="2970">
        <v>50.03</v>
      </c>
      <c r="G22" s="2970">
        <v>50.03</v>
      </c>
      <c r="H22" s="2970">
        <v>50.03</v>
      </c>
      <c r="I22" s="2970">
        <v>50.03</v>
      </c>
      <c r="J22" s="2970">
        <v>50.03</v>
      </c>
      <c r="K22" s="2970">
        <v>50.03</v>
      </c>
      <c r="L22" s="2970">
        <v>50.03</v>
      </c>
      <c r="M22" s="2970">
        <v>50.03</v>
      </c>
      <c r="N22" s="2970">
        <v>50.03</v>
      </c>
      <c r="O22" s="2970">
        <v>50.03</v>
      </c>
      <c r="P22" s="2970">
        <v>50.03</v>
      </c>
      <c r="Q22" s="2970">
        <v>50.03</v>
      </c>
      <c r="R22" s="2970">
        <v>50.03</v>
      </c>
      <c r="S22" s="2970">
        <v>50.03</v>
      </c>
      <c r="T22" s="2970">
        <v>41.24</v>
      </c>
      <c r="U22" s="2970">
        <v>59.14</v>
      </c>
      <c r="V22" s="2970">
        <v>56.4</v>
      </c>
      <c r="W22" s="2970">
        <v>56.4</v>
      </c>
      <c r="X22" s="2970">
        <v>56.4</v>
      </c>
      <c r="Y22" s="2970">
        <v>56.4</v>
      </c>
      <c r="Z22" s="2970">
        <v>56.4</v>
      </c>
      <c r="AA22" s="2970">
        <v>60.64</v>
      </c>
      <c r="AB22" s="2970">
        <v>58.03</v>
      </c>
      <c r="AC22" s="2970">
        <v>50.62</v>
      </c>
      <c r="AD22" s="2970">
        <v>50.73</v>
      </c>
      <c r="AE22" s="2970">
        <v>58.1</v>
      </c>
      <c r="AF22" s="2970">
        <v>345.13</v>
      </c>
      <c r="AG22" s="2970">
        <v>266.70999999999998</v>
      </c>
      <c r="AH22" s="2970">
        <v>180.03</v>
      </c>
      <c r="AI22" s="2970">
        <v>133.34</v>
      </c>
      <c r="AJ22" s="2970">
        <v>158.69999999999999</v>
      </c>
      <c r="AK22" s="2970">
        <v>188.73</v>
      </c>
      <c r="AL22" s="2970">
        <v>243.23</v>
      </c>
    </row>
    <row r="23" spans="1:38">
      <c r="A23" s="2970" t="s">
        <v>3235</v>
      </c>
      <c r="B23" s="2970">
        <v>1201</v>
      </c>
      <c r="C23" s="2970">
        <v>1202</v>
      </c>
      <c r="D23" s="2970">
        <v>1203</v>
      </c>
      <c r="E23" s="2970">
        <v>1204</v>
      </c>
      <c r="F23" s="2970">
        <v>1205</v>
      </c>
      <c r="G23" s="2970">
        <v>1206</v>
      </c>
      <c r="H23" s="2970">
        <v>1207</v>
      </c>
      <c r="I23" s="2970">
        <v>1208</v>
      </c>
      <c r="J23" s="2970">
        <v>1209</v>
      </c>
      <c r="K23" s="2970">
        <v>1210</v>
      </c>
      <c r="L23" s="2970">
        <v>1211</v>
      </c>
      <c r="M23" s="2970">
        <v>1212</v>
      </c>
      <c r="N23" s="2970">
        <v>1213</v>
      </c>
      <c r="O23" s="2970">
        <v>1214</v>
      </c>
      <c r="P23" s="2970">
        <v>1215</v>
      </c>
      <c r="Q23" s="2970">
        <v>1216</v>
      </c>
      <c r="R23" s="2970">
        <v>1217</v>
      </c>
      <c r="S23" s="2970">
        <v>1218</v>
      </c>
      <c r="T23" s="2970">
        <v>1219</v>
      </c>
      <c r="U23" s="2970">
        <v>1220</v>
      </c>
      <c r="V23" s="2970">
        <v>1221</v>
      </c>
      <c r="W23" s="2970">
        <v>1222</v>
      </c>
      <c r="X23" s="2970">
        <v>1223</v>
      </c>
      <c r="Y23" s="2970">
        <v>1224</v>
      </c>
      <c r="Z23" s="2970">
        <v>1225</v>
      </c>
      <c r="AA23" s="2970">
        <v>1226</v>
      </c>
      <c r="AB23" s="2970">
        <v>1217</v>
      </c>
      <c r="AC23" s="2970">
        <v>1228</v>
      </c>
      <c r="AD23" s="2970">
        <v>1229</v>
      </c>
      <c r="AE23" s="2970">
        <v>1230</v>
      </c>
      <c r="AF23" s="2970">
        <v>1231</v>
      </c>
      <c r="AG23" s="2970">
        <v>1232</v>
      </c>
      <c r="AH23" s="2970">
        <v>1233</v>
      </c>
      <c r="AI23" s="2970">
        <v>1234</v>
      </c>
      <c r="AJ23" s="2970">
        <v>1235</v>
      </c>
      <c r="AK23" s="2970">
        <v>1236</v>
      </c>
      <c r="AL23" s="2970">
        <v>1237</v>
      </c>
    </row>
    <row r="24" spans="1:38">
      <c r="A24" s="2970" t="s">
        <v>3221</v>
      </c>
      <c r="B24" s="2970">
        <v>50.84</v>
      </c>
      <c r="C24" s="2970">
        <v>39.4</v>
      </c>
      <c r="D24" s="2970">
        <v>41.69</v>
      </c>
      <c r="E24" s="2970">
        <v>45.51</v>
      </c>
      <c r="F24" s="2970">
        <v>49.89</v>
      </c>
      <c r="G24" s="2970">
        <v>49.89</v>
      </c>
      <c r="H24" s="2970">
        <v>49.89</v>
      </c>
      <c r="I24" s="2970">
        <v>49.89</v>
      </c>
      <c r="J24" s="2970">
        <v>49.89</v>
      </c>
      <c r="K24" s="2970">
        <v>49.89</v>
      </c>
      <c r="L24" s="2970">
        <v>49.89</v>
      </c>
      <c r="M24" s="2970">
        <v>49.89</v>
      </c>
      <c r="N24" s="2970">
        <v>49.89</v>
      </c>
      <c r="O24" s="2970">
        <v>49.89</v>
      </c>
      <c r="P24" s="2970">
        <v>49.89</v>
      </c>
      <c r="Q24" s="2970">
        <v>49.89</v>
      </c>
      <c r="R24" s="2970">
        <v>49.89</v>
      </c>
      <c r="S24" s="2970">
        <v>49.89</v>
      </c>
      <c r="T24" s="2970">
        <v>41.13</v>
      </c>
      <c r="U24" s="2970">
        <v>58.96</v>
      </c>
      <c r="V24" s="2970">
        <v>56.24</v>
      </c>
      <c r="W24" s="2970">
        <v>56.24</v>
      </c>
      <c r="X24" s="2970">
        <v>56.24</v>
      </c>
      <c r="Y24" s="2970">
        <v>56.24</v>
      </c>
      <c r="Z24" s="2970">
        <v>56.24</v>
      </c>
      <c r="AA24" s="2970">
        <v>60.46</v>
      </c>
      <c r="AB24" s="2970">
        <v>57.86</v>
      </c>
      <c r="AC24" s="2970">
        <v>50.48</v>
      </c>
      <c r="AD24" s="2970">
        <v>50.58</v>
      </c>
      <c r="AE24" s="2970">
        <v>57.94</v>
      </c>
      <c r="AF24" s="2970">
        <v>344.13</v>
      </c>
      <c r="AG24" s="2970">
        <v>265.94</v>
      </c>
      <c r="AH24" s="2970">
        <v>179.51</v>
      </c>
      <c r="AI24" s="2970">
        <v>132.94999999999999</v>
      </c>
      <c r="AJ24" s="2970">
        <v>158.24</v>
      </c>
      <c r="AK24" s="2970">
        <v>195.05</v>
      </c>
      <c r="AL24" s="2970">
        <v>270.95999999999998</v>
      </c>
    </row>
    <row r="25" spans="1:38">
      <c r="A25" s="2970" t="s">
        <v>3236</v>
      </c>
      <c r="B25" s="2970">
        <v>1101</v>
      </c>
      <c r="C25" s="2970">
        <v>1102</v>
      </c>
      <c r="D25" s="2970">
        <v>1103</v>
      </c>
      <c r="E25" s="2970">
        <v>1104</v>
      </c>
      <c r="F25" s="2970">
        <v>1105</v>
      </c>
      <c r="G25" s="2970">
        <v>1106</v>
      </c>
      <c r="H25" s="2970">
        <v>1107</v>
      </c>
      <c r="I25" s="2970">
        <v>1108</v>
      </c>
      <c r="J25" s="2970">
        <v>1109</v>
      </c>
      <c r="K25" s="2970">
        <v>1110</v>
      </c>
      <c r="L25" s="2970">
        <v>1111</v>
      </c>
      <c r="M25" s="2970">
        <v>1112</v>
      </c>
      <c r="N25" s="2970">
        <v>1113</v>
      </c>
      <c r="O25" s="2970">
        <v>1114</v>
      </c>
      <c r="P25" s="2970">
        <v>1115</v>
      </c>
      <c r="Q25" s="2970">
        <v>1116</v>
      </c>
      <c r="R25" s="2970">
        <v>1117</v>
      </c>
      <c r="S25" s="2970">
        <v>1118</v>
      </c>
      <c r="T25" s="2970">
        <v>1119</v>
      </c>
      <c r="U25" s="2970">
        <v>1120</v>
      </c>
      <c r="V25" s="2970">
        <v>1121</v>
      </c>
      <c r="W25" s="2970">
        <v>1122</v>
      </c>
      <c r="X25" s="2970">
        <v>1123</v>
      </c>
      <c r="Y25" s="2970">
        <v>1124</v>
      </c>
      <c r="Z25" s="2970">
        <v>1125</v>
      </c>
      <c r="AA25" s="2970">
        <v>1126</v>
      </c>
      <c r="AB25" s="2970">
        <v>1127</v>
      </c>
      <c r="AC25" s="2970">
        <v>1128</v>
      </c>
      <c r="AD25" s="2970">
        <v>1129</v>
      </c>
      <c r="AE25" s="2970">
        <v>1130</v>
      </c>
      <c r="AF25" s="2970">
        <v>1131</v>
      </c>
      <c r="AG25" s="2970">
        <v>1132</v>
      </c>
      <c r="AH25" s="2970">
        <v>1133</v>
      </c>
      <c r="AI25" s="2970">
        <v>1134</v>
      </c>
      <c r="AJ25" s="2970">
        <v>1135</v>
      </c>
      <c r="AK25" s="2970">
        <v>1136</v>
      </c>
      <c r="AL25" s="2970">
        <v>1137</v>
      </c>
    </row>
    <row r="26" spans="1:38">
      <c r="A26" s="2970" t="s">
        <v>3221</v>
      </c>
      <c r="B26" s="2970">
        <v>53.22</v>
      </c>
      <c r="C26" s="2970">
        <v>41.82</v>
      </c>
      <c r="D26" s="2970">
        <v>44.67</v>
      </c>
      <c r="E26" s="2970">
        <v>45.38</v>
      </c>
      <c r="F26" s="2970">
        <v>49.74</v>
      </c>
      <c r="G26" s="2970">
        <v>49.74</v>
      </c>
      <c r="H26" s="2970">
        <v>49.74</v>
      </c>
      <c r="I26" s="2970">
        <v>49.74</v>
      </c>
      <c r="J26" s="2970">
        <v>49.74</v>
      </c>
      <c r="K26" s="2970">
        <v>49.74</v>
      </c>
      <c r="L26" s="2970">
        <v>49.74</v>
      </c>
      <c r="M26" s="2970">
        <v>49.74</v>
      </c>
      <c r="N26" s="2970">
        <v>49.74</v>
      </c>
      <c r="O26" s="2970">
        <v>49.74</v>
      </c>
      <c r="P26" s="2970">
        <v>49.74</v>
      </c>
      <c r="Q26" s="2970">
        <v>49.74</v>
      </c>
      <c r="R26" s="2970">
        <v>49.74</v>
      </c>
      <c r="S26" s="2970">
        <v>49.74</v>
      </c>
      <c r="T26" s="2970">
        <v>41</v>
      </c>
      <c r="U26" s="2970">
        <v>58.79</v>
      </c>
      <c r="V26" s="2970">
        <v>56.07</v>
      </c>
      <c r="W26" s="2970">
        <v>56.07</v>
      </c>
      <c r="X26" s="2970">
        <v>56.07</v>
      </c>
      <c r="Y26" s="2970">
        <v>56.07</v>
      </c>
      <c r="Z26" s="2970">
        <v>56.07</v>
      </c>
      <c r="AA26" s="2970">
        <v>60.28</v>
      </c>
      <c r="AB26" s="2970">
        <v>57.69</v>
      </c>
      <c r="AC26" s="2970">
        <v>50.32</v>
      </c>
      <c r="AD26" s="2970">
        <v>50.43</v>
      </c>
      <c r="AE26" s="2970">
        <v>57.76</v>
      </c>
      <c r="AF26" s="2970">
        <v>343.1</v>
      </c>
      <c r="AG26" s="2970">
        <v>265.14</v>
      </c>
      <c r="AH26" s="2970">
        <v>178.97</v>
      </c>
      <c r="AI26" s="2970">
        <v>132.55000000000001</v>
      </c>
      <c r="AJ26" s="2970">
        <v>157.76</v>
      </c>
      <c r="AK26" s="2970">
        <v>197.72</v>
      </c>
      <c r="AL26" s="2970">
        <v>304.8</v>
      </c>
    </row>
    <row r="27" spans="1:38">
      <c r="A27" s="2970" t="s">
        <v>3237</v>
      </c>
      <c r="B27" s="2970">
        <v>1001</v>
      </c>
      <c r="C27" s="2970">
        <v>1002</v>
      </c>
      <c r="D27" s="2970">
        <v>1003</v>
      </c>
      <c r="E27" s="2970">
        <v>1004</v>
      </c>
      <c r="F27" s="2970">
        <v>1005</v>
      </c>
      <c r="G27" s="2970">
        <v>1006</v>
      </c>
      <c r="H27" s="2970">
        <v>1007</v>
      </c>
      <c r="I27" s="2970">
        <v>1008</v>
      </c>
      <c r="J27" s="2970">
        <v>1009</v>
      </c>
      <c r="K27" s="2970">
        <v>1010</v>
      </c>
      <c r="L27" s="2970">
        <v>1011</v>
      </c>
      <c r="M27" s="2970">
        <v>1012</v>
      </c>
      <c r="N27" s="2970">
        <v>1013</v>
      </c>
      <c r="O27" s="2970">
        <v>1014</v>
      </c>
      <c r="P27" s="2970">
        <v>1015</v>
      </c>
      <c r="Q27" s="2970">
        <v>1016</v>
      </c>
      <c r="R27" s="2970">
        <v>1017</v>
      </c>
      <c r="S27" s="2970">
        <v>1018</v>
      </c>
      <c r="T27" s="2970">
        <v>1019</v>
      </c>
      <c r="U27" s="2970">
        <v>1020</v>
      </c>
      <c r="V27" s="2970">
        <v>1021</v>
      </c>
      <c r="W27" s="2970">
        <v>1022</v>
      </c>
      <c r="X27" s="2970">
        <v>1023</v>
      </c>
      <c r="Y27" s="2970">
        <v>1024</v>
      </c>
      <c r="Z27" s="2970">
        <v>1025</v>
      </c>
      <c r="AA27" s="2970">
        <v>1026</v>
      </c>
      <c r="AB27" s="2970">
        <v>1027</v>
      </c>
      <c r="AC27" s="2970">
        <v>1028</v>
      </c>
      <c r="AD27" s="2970">
        <v>1029</v>
      </c>
      <c r="AE27" s="2970">
        <v>1030</v>
      </c>
      <c r="AF27" s="2970">
        <v>1031</v>
      </c>
      <c r="AG27" s="2970">
        <v>1032</v>
      </c>
      <c r="AH27" s="2970">
        <v>1033</v>
      </c>
      <c r="AI27" s="2970">
        <v>1034</v>
      </c>
      <c r="AJ27" s="2970">
        <v>1035</v>
      </c>
      <c r="AK27" s="2970">
        <v>1036</v>
      </c>
      <c r="AL27" s="2970">
        <v>1037</v>
      </c>
    </row>
    <row r="28" spans="1:38">
      <c r="A28" s="2970" t="s">
        <v>3221</v>
      </c>
      <c r="B28" s="2970">
        <v>54.99</v>
      </c>
      <c r="C28" s="2970">
        <v>43.62</v>
      </c>
      <c r="D28" s="2970">
        <v>46.91</v>
      </c>
      <c r="E28" s="2970">
        <v>45.27</v>
      </c>
      <c r="F28" s="2970">
        <v>49.62</v>
      </c>
      <c r="G28" s="2970">
        <v>49.62</v>
      </c>
      <c r="H28" s="2970">
        <v>49.62</v>
      </c>
      <c r="I28" s="2970">
        <v>49.62</v>
      </c>
      <c r="J28" s="2970">
        <v>49.62</v>
      </c>
      <c r="K28" s="2970">
        <v>49.62</v>
      </c>
      <c r="L28" s="2970">
        <v>49.62</v>
      </c>
      <c r="M28" s="2970">
        <v>49.62</v>
      </c>
      <c r="N28" s="2970">
        <v>49.62</v>
      </c>
      <c r="O28" s="2970">
        <v>49.62</v>
      </c>
      <c r="P28" s="2970">
        <v>49.62</v>
      </c>
      <c r="Q28" s="2970">
        <v>49.62</v>
      </c>
      <c r="R28" s="2970">
        <v>49.62</v>
      </c>
      <c r="S28" s="2970">
        <v>49.62</v>
      </c>
      <c r="T28" s="2970">
        <v>40.909999999999997</v>
      </c>
      <c r="U28" s="2970">
        <v>58.65</v>
      </c>
      <c r="V28" s="2970">
        <v>55.94</v>
      </c>
      <c r="W28" s="2970">
        <v>55.94</v>
      </c>
      <c r="X28" s="2970">
        <v>55.94</v>
      </c>
      <c r="Y28" s="2970">
        <v>55.94</v>
      </c>
      <c r="Z28" s="2970">
        <v>55.94</v>
      </c>
      <c r="AA28" s="2970">
        <v>60.14</v>
      </c>
      <c r="AB28" s="2970">
        <v>57.55</v>
      </c>
      <c r="AC28" s="2970">
        <v>50.21</v>
      </c>
      <c r="AD28" s="2970">
        <v>50.31</v>
      </c>
      <c r="AE28" s="2970">
        <v>57.63</v>
      </c>
      <c r="AF28" s="2970">
        <v>342.31</v>
      </c>
      <c r="AG28" s="2970">
        <v>264.52999999999997</v>
      </c>
      <c r="AH28" s="2970">
        <v>178.56</v>
      </c>
      <c r="AI28" s="2970">
        <v>132.25</v>
      </c>
      <c r="AJ28" s="2970">
        <v>157.4</v>
      </c>
      <c r="AK28" s="2970">
        <v>199.57</v>
      </c>
      <c r="AL28" s="2970">
        <v>331.89</v>
      </c>
    </row>
    <row r="29" spans="1:38">
      <c r="A29" s="2970" t="s">
        <v>3238</v>
      </c>
      <c r="B29" s="2970">
        <v>901</v>
      </c>
      <c r="C29" s="2970">
        <v>902</v>
      </c>
      <c r="D29" s="2970">
        <v>903</v>
      </c>
      <c r="E29" s="2970">
        <v>904</v>
      </c>
      <c r="F29" s="2970">
        <v>905</v>
      </c>
      <c r="G29" s="2970">
        <v>906</v>
      </c>
      <c r="H29" s="2970">
        <v>907</v>
      </c>
      <c r="I29" s="2970">
        <v>908</v>
      </c>
      <c r="J29" s="2970">
        <v>909</v>
      </c>
      <c r="K29" s="2970">
        <v>910</v>
      </c>
      <c r="L29" s="2970">
        <v>911</v>
      </c>
      <c r="M29" s="2970">
        <v>912</v>
      </c>
      <c r="N29" s="2970">
        <v>913</v>
      </c>
      <c r="O29" s="2970">
        <v>914</v>
      </c>
      <c r="P29" s="2970">
        <v>915</v>
      </c>
      <c r="Q29" s="2970">
        <v>916</v>
      </c>
      <c r="R29" s="2970">
        <v>917</v>
      </c>
      <c r="S29" s="2970">
        <v>918</v>
      </c>
      <c r="T29" s="2970">
        <v>919</v>
      </c>
      <c r="U29" s="2970">
        <v>920</v>
      </c>
      <c r="V29" s="2970">
        <v>921</v>
      </c>
      <c r="W29" s="2970">
        <v>922</v>
      </c>
      <c r="X29" s="2970">
        <v>923</v>
      </c>
      <c r="Y29" s="2970">
        <v>924</v>
      </c>
      <c r="Z29" s="2970">
        <v>925</v>
      </c>
      <c r="AA29" s="2970">
        <v>926</v>
      </c>
      <c r="AB29" s="2970">
        <v>927</v>
      </c>
      <c r="AC29" s="2970">
        <v>928</v>
      </c>
      <c r="AD29" s="2970">
        <v>929</v>
      </c>
      <c r="AE29" s="2970">
        <v>930</v>
      </c>
      <c r="AF29" s="2970">
        <v>931</v>
      </c>
      <c r="AG29" s="2970">
        <v>932</v>
      </c>
      <c r="AH29" s="2970">
        <v>933</v>
      </c>
      <c r="AI29" s="2970">
        <v>934</v>
      </c>
      <c r="AJ29" s="2970">
        <v>935</v>
      </c>
      <c r="AK29" s="2970">
        <v>936</v>
      </c>
      <c r="AL29" s="2970">
        <v>937</v>
      </c>
    </row>
    <row r="30" spans="1:38">
      <c r="A30" s="2970" t="s">
        <v>3221</v>
      </c>
      <c r="B30" s="2970">
        <v>56.76</v>
      </c>
      <c r="C30" s="2970">
        <v>45.41</v>
      </c>
      <c r="D30" s="2970">
        <v>49.2</v>
      </c>
      <c r="E30" s="2970">
        <v>45.17</v>
      </c>
      <c r="F30" s="2970">
        <v>49.5</v>
      </c>
      <c r="G30" s="2970">
        <v>49.5</v>
      </c>
      <c r="H30" s="2970">
        <v>49.5</v>
      </c>
      <c r="I30" s="2970">
        <v>49.5</v>
      </c>
      <c r="J30" s="2970">
        <v>49.5</v>
      </c>
      <c r="K30" s="2970">
        <v>49.5</v>
      </c>
      <c r="L30" s="2970">
        <v>49.5</v>
      </c>
      <c r="M30" s="2970">
        <v>49.5</v>
      </c>
      <c r="N30" s="2970">
        <v>49.5</v>
      </c>
      <c r="O30" s="2970">
        <v>49.5</v>
      </c>
      <c r="P30" s="2970">
        <v>49.5</v>
      </c>
      <c r="Q30" s="2970">
        <v>49.5</v>
      </c>
      <c r="R30" s="2970">
        <v>49.5</v>
      </c>
      <c r="S30" s="2970">
        <v>49.5</v>
      </c>
      <c r="T30" s="2970">
        <v>40.81</v>
      </c>
      <c r="U30" s="2970">
        <v>58.51</v>
      </c>
      <c r="V30" s="2970">
        <v>55.81</v>
      </c>
      <c r="W30" s="2970">
        <v>55.81</v>
      </c>
      <c r="X30" s="2970">
        <v>55.81</v>
      </c>
      <c r="Y30" s="2970">
        <v>55.81</v>
      </c>
      <c r="Z30" s="2970">
        <v>55.81</v>
      </c>
      <c r="AA30" s="2970">
        <v>60</v>
      </c>
      <c r="AB30" s="2970">
        <v>57.42</v>
      </c>
      <c r="AC30" s="2970">
        <v>50.09</v>
      </c>
      <c r="AD30" s="2970">
        <v>50.2</v>
      </c>
      <c r="AE30" s="2970">
        <v>57.49</v>
      </c>
      <c r="AF30" s="2970">
        <v>341.5</v>
      </c>
      <c r="AG30" s="2970">
        <v>263.91000000000003</v>
      </c>
      <c r="AH30" s="2970">
        <v>178.14</v>
      </c>
      <c r="AI30" s="2970">
        <v>131.91999999999999</v>
      </c>
      <c r="AJ30" s="2970">
        <v>157.03</v>
      </c>
      <c r="AK30" s="2970">
        <v>201.46</v>
      </c>
      <c r="AL30" s="2970">
        <v>360.14</v>
      </c>
    </row>
    <row r="31" spans="1:38">
      <c r="A31" s="2970" t="s">
        <v>3239</v>
      </c>
      <c r="B31" s="2970">
        <v>801</v>
      </c>
      <c r="C31" s="2970">
        <v>802</v>
      </c>
      <c r="D31" s="2970">
        <v>803</v>
      </c>
      <c r="E31" s="2970">
        <v>804</v>
      </c>
      <c r="F31" s="2970">
        <v>805</v>
      </c>
      <c r="G31" s="2970">
        <v>806</v>
      </c>
      <c r="H31" s="2970">
        <v>807</v>
      </c>
      <c r="I31" s="2970">
        <v>808</v>
      </c>
      <c r="J31" s="2970">
        <v>809</v>
      </c>
      <c r="K31" s="2970">
        <v>810</v>
      </c>
      <c r="L31" s="2970">
        <v>811</v>
      </c>
      <c r="M31" s="2970">
        <v>812</v>
      </c>
      <c r="N31" s="2970">
        <v>813</v>
      </c>
      <c r="O31" s="2970">
        <v>814</v>
      </c>
      <c r="P31" s="2970">
        <v>815</v>
      </c>
      <c r="Q31" s="2970">
        <v>816</v>
      </c>
      <c r="R31" s="2970">
        <v>817</v>
      </c>
      <c r="S31" s="2970">
        <v>818</v>
      </c>
      <c r="T31" s="2970">
        <v>819</v>
      </c>
      <c r="U31" s="2970">
        <v>820</v>
      </c>
      <c r="V31" s="2970">
        <v>821</v>
      </c>
      <c r="W31" s="2970">
        <v>822</v>
      </c>
      <c r="X31" s="2970">
        <v>823</v>
      </c>
      <c r="Y31" s="2970">
        <v>824</v>
      </c>
      <c r="Z31" s="2970">
        <v>825</v>
      </c>
      <c r="AA31" s="2970">
        <v>826</v>
      </c>
      <c r="AB31" s="2970">
        <v>827</v>
      </c>
      <c r="AC31" s="2970">
        <v>828</v>
      </c>
      <c r="AD31" s="2970">
        <v>829</v>
      </c>
      <c r="AE31" s="2970">
        <v>830</v>
      </c>
      <c r="AF31" s="2970">
        <v>831</v>
      </c>
      <c r="AG31" s="2970">
        <v>832</v>
      </c>
      <c r="AH31" s="2970">
        <v>833</v>
      </c>
      <c r="AI31" s="2970">
        <v>834</v>
      </c>
      <c r="AJ31" s="2970">
        <v>835</v>
      </c>
      <c r="AK31" s="2970">
        <v>836</v>
      </c>
      <c r="AL31" s="2970">
        <v>837</v>
      </c>
    </row>
    <row r="32" spans="1:38">
      <c r="A32" s="2970" t="s">
        <v>3221</v>
      </c>
      <c r="B32" s="2970">
        <v>57.94</v>
      </c>
      <c r="C32" s="2970">
        <v>46.6</v>
      </c>
      <c r="D32" s="2970">
        <v>50.74</v>
      </c>
      <c r="E32" s="2970">
        <v>45.1</v>
      </c>
      <c r="F32" s="2970">
        <v>49.44</v>
      </c>
      <c r="G32" s="2970">
        <v>49.44</v>
      </c>
      <c r="H32" s="2970">
        <v>49.44</v>
      </c>
      <c r="I32" s="2970">
        <v>49.44</v>
      </c>
      <c r="J32" s="2970">
        <v>49.44</v>
      </c>
      <c r="K32" s="2970">
        <v>49.44</v>
      </c>
      <c r="L32" s="2970">
        <v>49.44</v>
      </c>
      <c r="M32" s="2970">
        <v>49.44</v>
      </c>
      <c r="N32" s="2970">
        <v>49.44</v>
      </c>
      <c r="O32" s="2970">
        <v>49.44</v>
      </c>
      <c r="P32" s="2970">
        <v>49.44</v>
      </c>
      <c r="Q32" s="2970">
        <v>49.44</v>
      </c>
      <c r="R32" s="2970">
        <v>49.44</v>
      </c>
      <c r="S32" s="2970">
        <v>49.44</v>
      </c>
      <c r="T32" s="2970">
        <v>40.76</v>
      </c>
      <c r="U32" s="2970">
        <v>58.43</v>
      </c>
      <c r="V32" s="2970">
        <v>55.73</v>
      </c>
      <c r="W32" s="2970">
        <v>55.73</v>
      </c>
      <c r="X32" s="2970">
        <v>55.73</v>
      </c>
      <c r="Y32" s="2970">
        <v>55.73</v>
      </c>
      <c r="Z32" s="2970">
        <v>55.73</v>
      </c>
      <c r="AA32" s="2970">
        <v>59.92</v>
      </c>
      <c r="AB32" s="2970">
        <v>57.34</v>
      </c>
      <c r="AC32" s="2970">
        <v>50.02</v>
      </c>
      <c r="AD32" s="2970">
        <v>50.13</v>
      </c>
      <c r="AE32" s="2970">
        <v>57.41</v>
      </c>
      <c r="AF32" s="2970">
        <v>341.03</v>
      </c>
      <c r="AG32" s="2970">
        <v>263.54000000000002</v>
      </c>
      <c r="AH32" s="2970">
        <v>177.89</v>
      </c>
      <c r="AI32" s="2970">
        <v>131.74</v>
      </c>
      <c r="AJ32" s="2970">
        <v>156.81</v>
      </c>
      <c r="AK32" s="2970">
        <v>201.16</v>
      </c>
      <c r="AL32" s="2970">
        <v>377.86</v>
      </c>
    </row>
    <row r="33" spans="1:38">
      <c r="A33" s="2970" t="s">
        <v>3240</v>
      </c>
      <c r="B33" s="2970">
        <v>701</v>
      </c>
      <c r="C33" s="2970">
        <v>702</v>
      </c>
      <c r="D33" s="2970">
        <v>703</v>
      </c>
      <c r="E33" s="2970">
        <v>704</v>
      </c>
      <c r="F33" s="2970">
        <v>705</v>
      </c>
      <c r="G33" s="2970">
        <v>706</v>
      </c>
      <c r="H33" s="2970">
        <v>707</v>
      </c>
      <c r="I33" s="2970">
        <v>708</v>
      </c>
      <c r="J33" s="2970">
        <v>709</v>
      </c>
      <c r="K33" s="2970">
        <v>710</v>
      </c>
      <c r="L33" s="2970">
        <v>711</v>
      </c>
      <c r="M33" s="2970">
        <v>712</v>
      </c>
      <c r="N33" s="2970">
        <v>713</v>
      </c>
      <c r="O33" s="2970">
        <v>714</v>
      </c>
      <c r="P33" s="2970">
        <v>715</v>
      </c>
      <c r="Q33" s="2970">
        <v>716</v>
      </c>
      <c r="R33" s="2970">
        <v>717</v>
      </c>
      <c r="S33" s="2970">
        <v>718</v>
      </c>
      <c r="T33" s="2970">
        <v>719</v>
      </c>
      <c r="U33" s="2970">
        <v>720</v>
      </c>
      <c r="V33" s="2970">
        <v>721</v>
      </c>
      <c r="W33" s="2970">
        <v>722</v>
      </c>
      <c r="X33" s="2970">
        <v>723</v>
      </c>
      <c r="Y33" s="2970">
        <v>724</v>
      </c>
      <c r="Z33" s="2970">
        <v>725</v>
      </c>
      <c r="AA33" s="2970">
        <v>726</v>
      </c>
      <c r="AB33" s="2970">
        <v>727</v>
      </c>
      <c r="AC33" s="2970">
        <v>728</v>
      </c>
      <c r="AD33" s="2970">
        <v>729</v>
      </c>
      <c r="AE33" s="2970">
        <v>730</v>
      </c>
      <c r="AF33" s="2970">
        <v>731</v>
      </c>
      <c r="AG33" s="2970">
        <v>732</v>
      </c>
      <c r="AH33" s="2970">
        <v>733</v>
      </c>
      <c r="AI33" s="2970">
        <v>734</v>
      </c>
      <c r="AJ33" s="2970">
        <v>735</v>
      </c>
      <c r="AK33" s="2970">
        <v>736</v>
      </c>
      <c r="AL33" s="2970">
        <v>737</v>
      </c>
    </row>
    <row r="34" spans="1:38">
      <c r="A34" s="2970" t="s">
        <v>3221</v>
      </c>
      <c r="B34" s="2970">
        <v>59.08</v>
      </c>
      <c r="C34" s="2970">
        <v>47.77</v>
      </c>
      <c r="D34" s="2970">
        <v>52.26</v>
      </c>
      <c r="E34" s="2970">
        <v>45.02</v>
      </c>
      <c r="F34" s="2970">
        <v>49.34</v>
      </c>
      <c r="G34" s="2970">
        <v>49.34</v>
      </c>
      <c r="H34" s="2970">
        <v>49.34</v>
      </c>
      <c r="I34" s="2970">
        <v>49.34</v>
      </c>
      <c r="J34" s="2970">
        <v>49.34</v>
      </c>
      <c r="K34" s="2970">
        <v>49.34</v>
      </c>
      <c r="L34" s="2970">
        <v>49.34</v>
      </c>
      <c r="M34" s="2970">
        <v>49.34</v>
      </c>
      <c r="N34" s="2970">
        <v>49.34</v>
      </c>
      <c r="O34" s="2970">
        <v>49.34</v>
      </c>
      <c r="P34" s="2970">
        <v>49.34</v>
      </c>
      <c r="Q34" s="2970">
        <v>49.34</v>
      </c>
      <c r="R34" s="2970">
        <v>49.34</v>
      </c>
      <c r="S34" s="2970">
        <v>49.34</v>
      </c>
      <c r="T34" s="2970">
        <v>40.68</v>
      </c>
      <c r="U34" s="2970">
        <v>58.32</v>
      </c>
      <c r="V34" s="2970">
        <v>55.63</v>
      </c>
      <c r="W34" s="2970">
        <v>55.63</v>
      </c>
      <c r="X34" s="2970">
        <v>55.63</v>
      </c>
      <c r="Y34" s="2970">
        <v>55.63</v>
      </c>
      <c r="Z34" s="2970">
        <v>55.63</v>
      </c>
      <c r="AA34" s="2970">
        <v>59.8</v>
      </c>
      <c r="AB34" s="2970">
        <v>57.23</v>
      </c>
      <c r="AC34" s="2970">
        <v>49.92</v>
      </c>
      <c r="AD34" s="2970">
        <v>50.03</v>
      </c>
      <c r="AE34" s="2970">
        <v>57.3</v>
      </c>
      <c r="AF34" s="2970">
        <v>340.37</v>
      </c>
      <c r="AG34" s="2970">
        <v>263.02999999999997</v>
      </c>
      <c r="AH34" s="2970">
        <v>177.55</v>
      </c>
      <c r="AI34" s="2970">
        <v>131.47999999999999</v>
      </c>
      <c r="AJ34" s="2970">
        <v>156.51</v>
      </c>
      <c r="AK34" s="2970">
        <v>200.77</v>
      </c>
      <c r="AL34" s="2970">
        <v>404.93</v>
      </c>
    </row>
    <row r="35" spans="1:38">
      <c r="A35" s="2970" t="s">
        <v>3241</v>
      </c>
      <c r="B35" s="2970">
        <v>601</v>
      </c>
      <c r="C35" s="2970">
        <v>602</v>
      </c>
      <c r="D35" s="2970">
        <v>603</v>
      </c>
      <c r="E35" s="2970">
        <v>604</v>
      </c>
      <c r="F35" s="2970">
        <v>605</v>
      </c>
      <c r="G35" s="2970">
        <v>606</v>
      </c>
      <c r="H35" s="2970">
        <v>607</v>
      </c>
      <c r="I35" s="2970">
        <v>608</v>
      </c>
      <c r="J35" s="2970">
        <v>609</v>
      </c>
      <c r="K35" s="2970">
        <v>610</v>
      </c>
      <c r="L35" s="2970">
        <v>611</v>
      </c>
      <c r="M35" s="2970">
        <v>612</v>
      </c>
      <c r="N35" s="2970">
        <v>613</v>
      </c>
      <c r="O35" s="2970">
        <v>614</v>
      </c>
      <c r="P35" s="2970">
        <v>615</v>
      </c>
      <c r="Q35" s="2970">
        <v>616</v>
      </c>
      <c r="R35" s="2970">
        <v>617</v>
      </c>
      <c r="S35" s="2970">
        <v>618</v>
      </c>
      <c r="T35" s="2970">
        <v>619</v>
      </c>
      <c r="U35" s="2970">
        <v>620</v>
      </c>
      <c r="V35" s="2970">
        <v>621</v>
      </c>
      <c r="W35" s="2970">
        <v>622</v>
      </c>
      <c r="X35" s="2970">
        <v>623</v>
      </c>
      <c r="Y35" s="2970">
        <v>624</v>
      </c>
      <c r="Z35" s="2970">
        <v>625</v>
      </c>
      <c r="AA35" s="2970">
        <v>626</v>
      </c>
      <c r="AB35" s="2970">
        <v>627</v>
      </c>
      <c r="AC35" s="2970">
        <v>628</v>
      </c>
      <c r="AD35" s="2970">
        <v>629</v>
      </c>
      <c r="AE35" s="2970">
        <v>630</v>
      </c>
      <c r="AF35" s="2970">
        <v>631</v>
      </c>
      <c r="AG35" s="2970">
        <v>632</v>
      </c>
      <c r="AH35" s="2970">
        <v>633</v>
      </c>
      <c r="AI35" s="2970">
        <v>634</v>
      </c>
      <c r="AJ35" s="2970">
        <v>635</v>
      </c>
      <c r="AK35" s="2970">
        <v>636</v>
      </c>
      <c r="AL35" s="2970">
        <v>637</v>
      </c>
    </row>
    <row r="36" spans="1:38">
      <c r="A36" s="2970" t="s">
        <v>3221</v>
      </c>
      <c r="B36" s="2970">
        <v>64.13</v>
      </c>
      <c r="C36" s="2970">
        <v>52.47</v>
      </c>
      <c r="D36" s="2970">
        <v>58.1</v>
      </c>
      <c r="E36" s="2970">
        <v>46.4</v>
      </c>
      <c r="F36" s="2970">
        <v>50.85</v>
      </c>
      <c r="G36" s="2970">
        <v>50.85</v>
      </c>
      <c r="H36" s="2970">
        <v>50.85</v>
      </c>
      <c r="I36" s="2970">
        <v>50.85</v>
      </c>
      <c r="J36" s="2970">
        <v>50.85</v>
      </c>
      <c r="K36" s="2970">
        <v>50.85</v>
      </c>
      <c r="L36" s="2970">
        <v>50.85</v>
      </c>
      <c r="M36" s="2970">
        <v>50.85</v>
      </c>
      <c r="N36" s="2970">
        <v>50.85</v>
      </c>
      <c r="O36" s="2970">
        <v>50.85</v>
      </c>
      <c r="P36" s="2970">
        <v>50.85</v>
      </c>
      <c r="Q36" s="2970">
        <v>50.85</v>
      </c>
      <c r="R36" s="2970">
        <v>50.85</v>
      </c>
      <c r="S36" s="2970">
        <v>50.85</v>
      </c>
      <c r="T36" s="2970">
        <v>41.92</v>
      </c>
      <c r="U36" s="2970">
        <v>54.97</v>
      </c>
      <c r="V36" s="2970">
        <v>57.33</v>
      </c>
      <c r="W36" s="2970">
        <v>57.33</v>
      </c>
      <c r="X36" s="2970">
        <v>57.33</v>
      </c>
      <c r="Y36" s="2970">
        <v>57.33</v>
      </c>
      <c r="Z36" s="2970">
        <v>57.33</v>
      </c>
      <c r="AA36" s="2970">
        <v>54.14</v>
      </c>
      <c r="AB36" s="2970">
        <v>85.12</v>
      </c>
      <c r="AC36" s="2970">
        <v>46.5</v>
      </c>
      <c r="AD36" s="2970">
        <v>54.41</v>
      </c>
      <c r="AE36" s="2970">
        <v>335.35</v>
      </c>
      <c r="AF36" s="2970">
        <v>271.08</v>
      </c>
      <c r="AG36" s="2970">
        <v>182.98</v>
      </c>
      <c r="AH36" s="2970">
        <v>135.51</v>
      </c>
      <c r="AI36" s="2970">
        <v>161.30000000000001</v>
      </c>
      <c r="AJ36" s="2970">
        <v>206.92</v>
      </c>
      <c r="AK36" s="2970">
        <v>439.74</v>
      </c>
      <c r="AL36" s="3111"/>
    </row>
    <row r="37" spans="1:38">
      <c r="A37" s="2970" t="s">
        <v>3242</v>
      </c>
      <c r="B37" s="2970">
        <v>501</v>
      </c>
      <c r="C37" s="2970">
        <v>502</v>
      </c>
      <c r="D37" s="2970">
        <v>503</v>
      </c>
      <c r="E37" s="2970">
        <v>504</v>
      </c>
      <c r="F37" s="2970">
        <v>505</v>
      </c>
      <c r="G37" s="2970">
        <v>506</v>
      </c>
      <c r="H37" s="2970">
        <v>507</v>
      </c>
      <c r="I37" s="2970">
        <v>508</v>
      </c>
      <c r="J37" s="2970">
        <v>509</v>
      </c>
      <c r="K37" s="2970">
        <v>510</v>
      </c>
      <c r="L37" s="2970">
        <v>511</v>
      </c>
      <c r="M37" s="2970">
        <v>512</v>
      </c>
      <c r="N37" s="2970">
        <v>513</v>
      </c>
      <c r="O37" s="2970">
        <v>514</v>
      </c>
      <c r="P37" s="2970">
        <v>515</v>
      </c>
      <c r="Q37" s="2970">
        <v>516</v>
      </c>
      <c r="R37" s="2970">
        <v>517</v>
      </c>
      <c r="S37" s="2970">
        <v>518</v>
      </c>
      <c r="T37" s="2970">
        <v>519</v>
      </c>
      <c r="U37" s="2970">
        <v>520</v>
      </c>
      <c r="V37" s="2970">
        <v>521</v>
      </c>
      <c r="W37" s="2970">
        <v>522</v>
      </c>
      <c r="X37" s="2970">
        <v>523</v>
      </c>
      <c r="Y37" s="2970">
        <v>524</v>
      </c>
      <c r="Z37" s="2970">
        <v>525</v>
      </c>
      <c r="AA37" s="2970">
        <v>526</v>
      </c>
      <c r="AB37" s="2970">
        <v>527</v>
      </c>
      <c r="AC37" s="2970">
        <v>528</v>
      </c>
      <c r="AD37" s="2970">
        <v>529</v>
      </c>
      <c r="AE37" s="2970">
        <v>530</v>
      </c>
      <c r="AF37" s="2970">
        <v>531</v>
      </c>
      <c r="AG37" s="2970">
        <v>532</v>
      </c>
      <c r="AH37" s="2970">
        <v>533</v>
      </c>
      <c r="AI37" s="2970">
        <v>534</v>
      </c>
      <c r="AJ37" s="2970">
        <v>535</v>
      </c>
      <c r="AK37" s="2970">
        <v>536</v>
      </c>
      <c r="AL37" s="3111"/>
    </row>
    <row r="39" spans="1:38">
      <c r="A39" s="3106" t="s">
        <v>3253</v>
      </c>
      <c r="B39" s="3106"/>
      <c r="C39" s="3106"/>
      <c r="D39" s="3106"/>
      <c r="E39" s="3106"/>
      <c r="F39" s="3106"/>
      <c r="G39" s="3106"/>
      <c r="H39" s="3106"/>
      <c r="I39" s="3106"/>
      <c r="J39" s="3106"/>
      <c r="K39" s="3106"/>
      <c r="L39" s="3106"/>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row>
    <row r="40" spans="1:38">
      <c r="A40" s="3107" t="s">
        <v>3243</v>
      </c>
      <c r="B40" s="3107"/>
      <c r="C40" s="3107"/>
      <c r="D40" s="3107"/>
      <c r="E40" s="3107"/>
      <c r="F40" s="3107"/>
      <c r="G40" s="2971"/>
      <c r="H40" s="2971"/>
      <c r="I40" s="2971"/>
      <c r="J40" s="2971"/>
      <c r="K40" s="2971"/>
      <c r="L40" s="2971"/>
      <c r="M40" s="2971"/>
      <c r="N40" s="2971"/>
      <c r="O40" s="2971"/>
      <c r="P40" s="2971"/>
      <c r="Q40" s="2971"/>
      <c r="R40" s="2971"/>
      <c r="S40" s="2971"/>
      <c r="T40" s="2971"/>
      <c r="U40" s="2971"/>
      <c r="V40" s="2971"/>
      <c r="W40" s="2971"/>
      <c r="X40" s="2971"/>
      <c r="Y40" s="2971"/>
      <c r="Z40" s="2971"/>
      <c r="AA40" s="2971"/>
      <c r="AB40" s="2971"/>
      <c r="AC40" s="2971"/>
      <c r="AD40" s="2971"/>
      <c r="AE40" s="2971"/>
      <c r="AF40" s="2971"/>
      <c r="AG40" s="2971"/>
      <c r="AH40" s="2971"/>
      <c r="AI40" s="2971"/>
      <c r="AJ40" s="2971"/>
      <c r="AK40" s="2971"/>
      <c r="AL40" s="2971"/>
    </row>
    <row r="41" spans="1:38">
      <c r="A41" s="3108">
        <v>43259</v>
      </c>
      <c r="B41" s="3107"/>
      <c r="C41" s="3107"/>
      <c r="D41" s="3107"/>
      <c r="E41" s="3107"/>
      <c r="F41" s="3107"/>
      <c r="G41" s="2971"/>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row>
    <row r="42" spans="1:38" ht="20.25">
      <c r="A42" s="3109" t="s">
        <v>3244</v>
      </c>
      <c r="B42" s="3109"/>
      <c r="C42" s="3109"/>
      <c r="D42" s="3109"/>
      <c r="E42" s="3109"/>
      <c r="F42" s="3109"/>
      <c r="G42" s="3109"/>
      <c r="H42" s="3109"/>
      <c r="I42" s="3109"/>
      <c r="J42" s="3109"/>
      <c r="K42" s="3109"/>
      <c r="L42" s="310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row>
    <row r="43" spans="1:38">
      <c r="A43" s="2967" t="s">
        <v>3180</v>
      </c>
      <c r="B43" s="2967"/>
      <c r="C43" s="2967"/>
      <c r="D43" s="2967"/>
      <c r="E43" s="2967"/>
      <c r="F43" s="3110" t="s">
        <v>3181</v>
      </c>
      <c r="G43" s="3110"/>
      <c r="H43" s="3110"/>
      <c r="I43" s="3110"/>
      <c r="AC43" s="3106"/>
      <c r="AD43" s="3106"/>
      <c r="AE43" s="3106"/>
      <c r="AF43" s="3106"/>
      <c r="AG43" s="3106"/>
      <c r="AH43" s="3106"/>
      <c r="AI43" s="3106"/>
      <c r="AJ43" s="3106"/>
    </row>
    <row r="44" spans="1:38">
      <c r="A44" s="2972" t="s">
        <v>3182</v>
      </c>
      <c r="B44" s="2972" t="s">
        <v>3183</v>
      </c>
      <c r="C44" s="2972" t="s">
        <v>3184</v>
      </c>
      <c r="D44" s="2972" t="s">
        <v>3185</v>
      </c>
      <c r="E44" s="2972" t="s">
        <v>3186</v>
      </c>
      <c r="F44" s="2972" t="s">
        <v>3187</v>
      </c>
      <c r="G44" s="2972" t="s">
        <v>3188</v>
      </c>
      <c r="H44" s="2972" t="s">
        <v>3189</v>
      </c>
      <c r="I44" s="2972" t="s">
        <v>3190</v>
      </c>
      <c r="J44" s="2972" t="s">
        <v>3191</v>
      </c>
      <c r="K44" s="2972" t="s">
        <v>3192</v>
      </c>
      <c r="L44" s="2972" t="s">
        <v>3193</v>
      </c>
      <c r="M44" s="2972" t="s">
        <v>3194</v>
      </c>
      <c r="N44" s="2972" t="s">
        <v>3195</v>
      </c>
      <c r="O44" s="2972" t="s">
        <v>3196</v>
      </c>
      <c r="P44" s="2972" t="s">
        <v>3197</v>
      </c>
      <c r="Q44" s="2972" t="s">
        <v>3198</v>
      </c>
      <c r="R44" s="2972" t="s">
        <v>3199</v>
      </c>
      <c r="S44" s="2972" t="s">
        <v>3200</v>
      </c>
      <c r="T44" s="2972" t="s">
        <v>3201</v>
      </c>
      <c r="U44" s="2972" t="s">
        <v>3202</v>
      </c>
      <c r="V44" s="2972" t="s">
        <v>3203</v>
      </c>
      <c r="W44" s="2972" t="s">
        <v>3204</v>
      </c>
      <c r="X44" s="2972" t="s">
        <v>3205</v>
      </c>
      <c r="Y44" s="2972" t="s">
        <v>3206</v>
      </c>
      <c r="Z44" s="2972" t="s">
        <v>3207</v>
      </c>
      <c r="AA44" s="2972" t="s">
        <v>3208</v>
      </c>
      <c r="AB44" s="2972" t="s">
        <v>3209</v>
      </c>
      <c r="AC44" s="2972" t="s">
        <v>3210</v>
      </c>
      <c r="AD44" s="2972" t="s">
        <v>3211</v>
      </c>
      <c r="AE44" s="2972" t="s">
        <v>3212</v>
      </c>
      <c r="AF44" s="2972" t="s">
        <v>3213</v>
      </c>
      <c r="AG44" s="2972" t="s">
        <v>3214</v>
      </c>
      <c r="AH44" s="2972" t="s">
        <v>3215</v>
      </c>
      <c r="AI44" s="2972" t="s">
        <v>3216</v>
      </c>
      <c r="AJ44" s="2972" t="s">
        <v>3217</v>
      </c>
    </row>
    <row r="45" spans="1:38">
      <c r="A45" s="2972" t="s">
        <v>3220</v>
      </c>
      <c r="B45" s="2972" t="s">
        <v>27</v>
      </c>
      <c r="C45" s="2972" t="s">
        <v>27</v>
      </c>
      <c r="D45" s="2972" t="s">
        <v>27</v>
      </c>
      <c r="E45" s="2972" t="s">
        <v>27</v>
      </c>
      <c r="F45" s="2972" t="s">
        <v>27</v>
      </c>
      <c r="G45" s="2972" t="s">
        <v>27</v>
      </c>
      <c r="H45" s="2972" t="s">
        <v>27</v>
      </c>
      <c r="I45" s="2972" t="s">
        <v>27</v>
      </c>
      <c r="J45" s="2972" t="s">
        <v>27</v>
      </c>
      <c r="K45" s="2972" t="s">
        <v>27</v>
      </c>
      <c r="L45" s="2972" t="s">
        <v>27</v>
      </c>
      <c r="M45" s="2972" t="s">
        <v>27</v>
      </c>
      <c r="N45" s="2972" t="s">
        <v>27</v>
      </c>
      <c r="O45" s="2972" t="s">
        <v>27</v>
      </c>
      <c r="P45" s="2972" t="s">
        <v>27</v>
      </c>
      <c r="Q45" s="2972" t="s">
        <v>27</v>
      </c>
      <c r="R45" s="2972" t="s">
        <v>27</v>
      </c>
      <c r="S45" s="2972" t="s">
        <v>27</v>
      </c>
      <c r="T45" s="2972" t="s">
        <v>27</v>
      </c>
      <c r="U45" s="2972" t="s">
        <v>27</v>
      </c>
      <c r="V45" s="2972" t="s">
        <v>27</v>
      </c>
      <c r="W45" s="2972" t="s">
        <v>27</v>
      </c>
      <c r="X45" s="2972" t="s">
        <v>27</v>
      </c>
      <c r="Y45" s="2972" t="s">
        <v>27</v>
      </c>
      <c r="Z45" s="2972" t="s">
        <v>27</v>
      </c>
      <c r="AA45" s="2972" t="s">
        <v>27</v>
      </c>
      <c r="AB45" s="2972" t="s">
        <v>27</v>
      </c>
      <c r="AC45" s="2972" t="s">
        <v>27</v>
      </c>
      <c r="AD45" s="2972" t="s">
        <v>27</v>
      </c>
      <c r="AE45" s="2972" t="s">
        <v>27</v>
      </c>
      <c r="AF45" s="2972" t="s">
        <v>27</v>
      </c>
      <c r="AG45" s="2972" t="s">
        <v>27</v>
      </c>
      <c r="AH45" s="2972" t="s">
        <v>27</v>
      </c>
      <c r="AI45" s="2972" t="s">
        <v>27</v>
      </c>
      <c r="AJ45" s="2972" t="s">
        <v>27</v>
      </c>
    </row>
    <row r="46" spans="1:38">
      <c r="A46" s="2972" t="s">
        <v>3221</v>
      </c>
      <c r="B46" s="2972">
        <v>68.05</v>
      </c>
      <c r="C46" s="2972">
        <v>47.59</v>
      </c>
      <c r="D46" s="2972">
        <v>52.4</v>
      </c>
      <c r="E46" s="2972">
        <v>56.57</v>
      </c>
      <c r="F46" s="2972">
        <v>59.91</v>
      </c>
      <c r="G46" s="2972">
        <v>61.66</v>
      </c>
      <c r="H46" s="2972">
        <v>61.94</v>
      </c>
      <c r="I46" s="2972">
        <v>61.98</v>
      </c>
      <c r="J46" s="2972">
        <v>62.31</v>
      </c>
      <c r="K46" s="2972">
        <v>63</v>
      </c>
      <c r="L46" s="2972">
        <v>64.5</v>
      </c>
      <c r="M46" s="2972">
        <v>65.94</v>
      </c>
      <c r="N46" s="2972">
        <v>63.92</v>
      </c>
      <c r="O46" s="2972">
        <v>75.81</v>
      </c>
      <c r="P46" s="2972">
        <v>69.88</v>
      </c>
      <c r="Q46" s="2972">
        <v>67.42</v>
      </c>
      <c r="R46" s="2972">
        <v>68.25</v>
      </c>
      <c r="S46" s="2972">
        <v>69.11</v>
      </c>
      <c r="T46" s="2972">
        <v>70.67</v>
      </c>
      <c r="U46" s="2972">
        <v>73.25</v>
      </c>
      <c r="V46" s="2972">
        <v>71.53</v>
      </c>
      <c r="W46" s="2972">
        <v>64.290000000000006</v>
      </c>
      <c r="X46" s="2972">
        <v>59.07</v>
      </c>
      <c r="Y46" s="2972">
        <v>58.01</v>
      </c>
      <c r="Z46" s="2972">
        <v>66.94</v>
      </c>
      <c r="AA46" s="2972">
        <v>56.59</v>
      </c>
      <c r="AB46" s="2972">
        <v>58.41</v>
      </c>
      <c r="AC46" s="2972">
        <v>64.13</v>
      </c>
      <c r="AD46" s="2972">
        <v>57.45</v>
      </c>
      <c r="AE46" s="2972">
        <v>57.33</v>
      </c>
      <c r="AF46" s="2972">
        <v>56.44</v>
      </c>
      <c r="AG46" s="2972">
        <v>55.78</v>
      </c>
      <c r="AH46" s="2972">
        <v>55.05</v>
      </c>
      <c r="AI46" s="2972">
        <v>55.51</v>
      </c>
      <c r="AJ46" s="2972">
        <v>55.18</v>
      </c>
    </row>
    <row r="47" spans="1:38">
      <c r="A47" s="2973" t="s">
        <v>3245</v>
      </c>
      <c r="B47" s="2973">
        <v>3001</v>
      </c>
      <c r="C47" s="2973">
        <v>3002</v>
      </c>
      <c r="D47" s="2973">
        <v>3003</v>
      </c>
      <c r="E47" s="2973">
        <v>3004</v>
      </c>
      <c r="F47" s="2973">
        <v>3005</v>
      </c>
      <c r="G47" s="2973">
        <v>3006</v>
      </c>
      <c r="H47" s="2973">
        <v>3007</v>
      </c>
      <c r="I47" s="2973">
        <v>3008</v>
      </c>
      <c r="J47" s="2973">
        <v>3009</v>
      </c>
      <c r="K47" s="2973">
        <v>3010</v>
      </c>
      <c r="L47" s="2973">
        <v>3011</v>
      </c>
      <c r="M47" s="2973">
        <v>3012</v>
      </c>
      <c r="N47" s="2973">
        <v>3013</v>
      </c>
      <c r="O47" s="2973">
        <v>3014</v>
      </c>
      <c r="P47" s="2973">
        <v>3015</v>
      </c>
      <c r="Q47" s="2973">
        <v>3016</v>
      </c>
      <c r="R47" s="2973">
        <v>3017</v>
      </c>
      <c r="S47" s="2973">
        <v>3018</v>
      </c>
      <c r="T47" s="2973">
        <v>3019</v>
      </c>
      <c r="U47" s="2973">
        <v>3020</v>
      </c>
      <c r="V47" s="2973">
        <v>3021</v>
      </c>
      <c r="W47" s="2973">
        <v>3022</v>
      </c>
      <c r="X47" s="2973">
        <v>3023</v>
      </c>
      <c r="Y47" s="2973">
        <v>3024</v>
      </c>
      <c r="Z47" s="2973">
        <v>3025</v>
      </c>
      <c r="AA47" s="2973">
        <v>3026</v>
      </c>
      <c r="AB47" s="2973">
        <v>3027</v>
      </c>
      <c r="AC47" s="2973">
        <v>3028</v>
      </c>
      <c r="AD47" s="2973">
        <v>3029</v>
      </c>
      <c r="AE47" s="2973">
        <v>3030</v>
      </c>
      <c r="AF47" s="2973">
        <v>3031</v>
      </c>
      <c r="AG47" s="2973">
        <v>3032</v>
      </c>
      <c r="AH47" s="2973">
        <v>3033</v>
      </c>
      <c r="AI47" s="2973">
        <v>3034</v>
      </c>
      <c r="AJ47" s="2973">
        <v>3035</v>
      </c>
    </row>
    <row r="48" spans="1:38">
      <c r="A48" s="2973" t="s">
        <v>3246</v>
      </c>
      <c r="B48" s="2973">
        <v>2901</v>
      </c>
      <c r="C48" s="2973">
        <v>2902</v>
      </c>
      <c r="D48" s="2973">
        <v>2903</v>
      </c>
      <c r="E48" s="2973">
        <v>2904</v>
      </c>
      <c r="F48" s="2973">
        <v>2905</v>
      </c>
      <c r="G48" s="2973">
        <v>2906</v>
      </c>
      <c r="H48" s="2973">
        <v>2907</v>
      </c>
      <c r="I48" s="2973">
        <v>2908</v>
      </c>
      <c r="J48" s="2973">
        <v>2909</v>
      </c>
      <c r="K48" s="2973">
        <v>2910</v>
      </c>
      <c r="L48" s="2973">
        <v>2911</v>
      </c>
      <c r="M48" s="2973">
        <v>2912</v>
      </c>
      <c r="N48" s="2973">
        <v>2913</v>
      </c>
      <c r="O48" s="2973">
        <v>2914</v>
      </c>
      <c r="P48" s="2973">
        <v>2915</v>
      </c>
      <c r="Q48" s="2973">
        <v>2916</v>
      </c>
      <c r="R48" s="2973">
        <v>2917</v>
      </c>
      <c r="S48" s="2973">
        <v>2918</v>
      </c>
      <c r="T48" s="2973">
        <v>2919</v>
      </c>
      <c r="U48" s="2973">
        <v>2920</v>
      </c>
      <c r="V48" s="2973">
        <v>2921</v>
      </c>
      <c r="W48" s="2973">
        <v>2922</v>
      </c>
      <c r="X48" s="2973">
        <v>2923</v>
      </c>
      <c r="Y48" s="2973">
        <v>2924</v>
      </c>
      <c r="Z48" s="2973">
        <v>2925</v>
      </c>
      <c r="AA48" s="2973">
        <v>2926</v>
      </c>
      <c r="AB48" s="2973">
        <v>2927</v>
      </c>
      <c r="AC48" s="2973">
        <v>2928</v>
      </c>
      <c r="AD48" s="2973">
        <v>2929</v>
      </c>
      <c r="AE48" s="2973">
        <v>2930</v>
      </c>
      <c r="AF48" s="2973">
        <v>2931</v>
      </c>
      <c r="AG48" s="2973">
        <v>2932</v>
      </c>
      <c r="AH48" s="2973">
        <v>2933</v>
      </c>
      <c r="AI48" s="2973">
        <v>2934</v>
      </c>
      <c r="AJ48" s="2973">
        <v>2935</v>
      </c>
    </row>
    <row r="49" spans="1:36">
      <c r="A49" s="2973" t="s">
        <v>3247</v>
      </c>
      <c r="B49" s="2973">
        <v>2801</v>
      </c>
      <c r="C49" s="2973">
        <v>2802</v>
      </c>
      <c r="D49" s="2973">
        <v>2803</v>
      </c>
      <c r="E49" s="2973">
        <v>2804</v>
      </c>
      <c r="F49" s="2973">
        <v>2805</v>
      </c>
      <c r="G49" s="2973">
        <v>2806</v>
      </c>
      <c r="H49" s="2973">
        <v>2807</v>
      </c>
      <c r="I49" s="2973">
        <v>2808</v>
      </c>
      <c r="J49" s="2973">
        <v>2809</v>
      </c>
      <c r="K49" s="2973">
        <v>2810</v>
      </c>
      <c r="L49" s="2973">
        <v>2811</v>
      </c>
      <c r="M49" s="2973">
        <v>2812</v>
      </c>
      <c r="N49" s="2973">
        <v>2813</v>
      </c>
      <c r="O49" s="2973">
        <v>2814</v>
      </c>
      <c r="P49" s="2973">
        <v>2815</v>
      </c>
      <c r="Q49" s="2973">
        <v>2816</v>
      </c>
      <c r="R49" s="2973">
        <v>2817</v>
      </c>
      <c r="S49" s="2973">
        <v>2818</v>
      </c>
      <c r="T49" s="2973">
        <v>2819</v>
      </c>
      <c r="U49" s="2973">
        <v>2820</v>
      </c>
      <c r="V49" s="2973">
        <v>2821</v>
      </c>
      <c r="W49" s="2973">
        <v>2822</v>
      </c>
      <c r="X49" s="2973">
        <v>2823</v>
      </c>
      <c r="Y49" s="2973">
        <v>2824</v>
      </c>
      <c r="Z49" s="2973">
        <v>2825</v>
      </c>
      <c r="AA49" s="2973">
        <v>2826</v>
      </c>
      <c r="AB49" s="2973">
        <v>2827</v>
      </c>
      <c r="AC49" s="2973">
        <v>2828</v>
      </c>
      <c r="AD49" s="2973">
        <v>2829</v>
      </c>
      <c r="AE49" s="2973">
        <v>2830</v>
      </c>
      <c r="AF49" s="2973">
        <v>2831</v>
      </c>
      <c r="AG49" s="2973">
        <v>2832</v>
      </c>
      <c r="AH49" s="2973">
        <v>2833</v>
      </c>
      <c r="AI49" s="2973">
        <v>2834</v>
      </c>
      <c r="AJ49" s="2973">
        <v>2835</v>
      </c>
    </row>
    <row r="50" spans="1:36">
      <c r="A50" s="2973" t="s">
        <v>3248</v>
      </c>
      <c r="B50" s="2973">
        <v>2701</v>
      </c>
      <c r="C50" s="2973">
        <v>2702</v>
      </c>
      <c r="D50" s="2973">
        <v>2703</v>
      </c>
      <c r="E50" s="2973">
        <v>2704</v>
      </c>
      <c r="F50" s="2973">
        <v>2705</v>
      </c>
      <c r="G50" s="2973">
        <v>2706</v>
      </c>
      <c r="H50" s="2973">
        <v>2707</v>
      </c>
      <c r="I50" s="2973">
        <v>2708</v>
      </c>
      <c r="J50" s="2973">
        <v>2709</v>
      </c>
      <c r="K50" s="2973">
        <v>2710</v>
      </c>
      <c r="L50" s="2973">
        <v>2711</v>
      </c>
      <c r="M50" s="2973">
        <v>2712</v>
      </c>
      <c r="N50" s="2973">
        <v>2713</v>
      </c>
      <c r="O50" s="2973">
        <v>2714</v>
      </c>
      <c r="P50" s="2973">
        <v>2715</v>
      </c>
      <c r="Q50" s="2973">
        <v>2716</v>
      </c>
      <c r="R50" s="2973">
        <v>2717</v>
      </c>
      <c r="S50" s="2973">
        <v>2718</v>
      </c>
      <c r="T50" s="2973">
        <v>2719</v>
      </c>
      <c r="U50" s="2973">
        <v>2720</v>
      </c>
      <c r="V50" s="2973">
        <v>2721</v>
      </c>
      <c r="W50" s="2973">
        <v>2722</v>
      </c>
      <c r="X50" s="2973">
        <v>2723</v>
      </c>
      <c r="Y50" s="2973">
        <v>2724</v>
      </c>
      <c r="Z50" s="2973">
        <v>2725</v>
      </c>
      <c r="AA50" s="2973">
        <v>2726</v>
      </c>
      <c r="AB50" s="2973">
        <v>2727</v>
      </c>
      <c r="AC50" s="2973">
        <v>2728</v>
      </c>
      <c r="AD50" s="2973">
        <v>2729</v>
      </c>
      <c r="AE50" s="2973">
        <v>2730</v>
      </c>
      <c r="AF50" s="2973">
        <v>2731</v>
      </c>
      <c r="AG50" s="2973">
        <v>2732</v>
      </c>
      <c r="AH50" s="2973">
        <v>2733</v>
      </c>
      <c r="AI50" s="2973">
        <v>2734</v>
      </c>
      <c r="AJ50" s="2973">
        <v>2735</v>
      </c>
    </row>
    <row r="51" spans="1:36">
      <c r="A51" s="2973" t="s">
        <v>3249</v>
      </c>
      <c r="B51" s="2973">
        <v>2601</v>
      </c>
      <c r="C51" s="2973">
        <v>2602</v>
      </c>
      <c r="D51" s="2973">
        <v>2603</v>
      </c>
      <c r="E51" s="2973">
        <v>2604</v>
      </c>
      <c r="F51" s="2973">
        <v>2605</v>
      </c>
      <c r="G51" s="2973">
        <v>2606</v>
      </c>
      <c r="H51" s="2973">
        <v>2607</v>
      </c>
      <c r="I51" s="2973">
        <v>2608</v>
      </c>
      <c r="J51" s="2973">
        <v>2609</v>
      </c>
      <c r="K51" s="2973">
        <v>2610</v>
      </c>
      <c r="L51" s="2973">
        <v>2611</v>
      </c>
      <c r="M51" s="2973">
        <v>2612</v>
      </c>
      <c r="N51" s="2973">
        <v>2613</v>
      </c>
      <c r="O51" s="2973">
        <v>2614</v>
      </c>
      <c r="P51" s="2973">
        <v>2615</v>
      </c>
      <c r="Q51" s="2973">
        <v>2616</v>
      </c>
      <c r="R51" s="2973">
        <v>2617</v>
      </c>
      <c r="S51" s="2973">
        <v>2618</v>
      </c>
      <c r="T51" s="2973">
        <v>2619</v>
      </c>
      <c r="U51" s="2973">
        <v>2620</v>
      </c>
      <c r="V51" s="2973">
        <v>2621</v>
      </c>
      <c r="W51" s="2973">
        <v>2622</v>
      </c>
      <c r="X51" s="2973">
        <v>2623</v>
      </c>
      <c r="Y51" s="2973">
        <v>2624</v>
      </c>
      <c r="Z51" s="2973">
        <v>2625</v>
      </c>
      <c r="AA51" s="2973">
        <v>2626</v>
      </c>
      <c r="AB51" s="2973">
        <v>2627</v>
      </c>
      <c r="AC51" s="2973">
        <v>2628</v>
      </c>
      <c r="AD51" s="2973">
        <v>2629</v>
      </c>
      <c r="AE51" s="2973">
        <v>2630</v>
      </c>
      <c r="AF51" s="2973">
        <v>2631</v>
      </c>
      <c r="AG51" s="2973">
        <v>2632</v>
      </c>
      <c r="AH51" s="2973">
        <v>2633</v>
      </c>
      <c r="AI51" s="2973">
        <v>2634</v>
      </c>
      <c r="AJ51" s="2973">
        <v>2635</v>
      </c>
    </row>
    <row r="52" spans="1:36">
      <c r="A52" s="2973" t="s">
        <v>3222</v>
      </c>
      <c r="B52" s="2973">
        <v>2501</v>
      </c>
      <c r="C52" s="2973">
        <v>2502</v>
      </c>
      <c r="D52" s="2973">
        <v>2503</v>
      </c>
      <c r="E52" s="2973">
        <v>2504</v>
      </c>
      <c r="F52" s="2973">
        <v>2505</v>
      </c>
      <c r="G52" s="2973">
        <v>2506</v>
      </c>
      <c r="H52" s="2973">
        <v>2507</v>
      </c>
      <c r="I52" s="2973">
        <v>2508</v>
      </c>
      <c r="J52" s="2973">
        <v>2509</v>
      </c>
      <c r="K52" s="2973">
        <v>2510</v>
      </c>
      <c r="L52" s="2973">
        <v>2511</v>
      </c>
      <c r="M52" s="2973">
        <v>2512</v>
      </c>
      <c r="N52" s="2973">
        <v>2513</v>
      </c>
      <c r="O52" s="2973">
        <v>2514</v>
      </c>
      <c r="P52" s="2973">
        <v>2515</v>
      </c>
      <c r="Q52" s="2973">
        <v>2516</v>
      </c>
      <c r="R52" s="2973">
        <v>2517</v>
      </c>
      <c r="S52" s="2973">
        <v>2518</v>
      </c>
      <c r="T52" s="2973">
        <v>2519</v>
      </c>
      <c r="U52" s="2973">
        <v>2520</v>
      </c>
      <c r="V52" s="2973">
        <v>2521</v>
      </c>
      <c r="W52" s="2973">
        <v>2522</v>
      </c>
      <c r="X52" s="2973">
        <v>2523</v>
      </c>
      <c r="Y52" s="2973">
        <v>2524</v>
      </c>
      <c r="Z52" s="2973">
        <v>2525</v>
      </c>
      <c r="AA52" s="2973">
        <v>2526</v>
      </c>
      <c r="AB52" s="2973">
        <v>2527</v>
      </c>
      <c r="AC52" s="2973">
        <v>2528</v>
      </c>
      <c r="AD52" s="2973">
        <v>2529</v>
      </c>
      <c r="AE52" s="2973">
        <v>2530</v>
      </c>
      <c r="AF52" s="2973">
        <v>2531</v>
      </c>
      <c r="AG52" s="2973">
        <v>2532</v>
      </c>
      <c r="AH52" s="2973">
        <v>2533</v>
      </c>
      <c r="AI52" s="2973">
        <v>2534</v>
      </c>
      <c r="AJ52" s="2973">
        <v>2535</v>
      </c>
    </row>
    <row r="53" spans="1:36">
      <c r="A53" s="2973" t="s">
        <v>3223</v>
      </c>
      <c r="B53" s="2973">
        <v>2401</v>
      </c>
      <c r="C53" s="2973">
        <v>2402</v>
      </c>
      <c r="D53" s="2973">
        <v>2403</v>
      </c>
      <c r="E53" s="2973">
        <v>2404</v>
      </c>
      <c r="F53" s="2973">
        <v>2405</v>
      </c>
      <c r="G53" s="2973">
        <v>2406</v>
      </c>
      <c r="H53" s="2973">
        <v>2407</v>
      </c>
      <c r="I53" s="2973">
        <v>2408</v>
      </c>
      <c r="J53" s="2973">
        <v>2409</v>
      </c>
      <c r="K53" s="2973">
        <v>2410</v>
      </c>
      <c r="L53" s="2973">
        <v>2411</v>
      </c>
      <c r="M53" s="2973">
        <v>2412</v>
      </c>
      <c r="N53" s="2973">
        <v>2413</v>
      </c>
      <c r="O53" s="2973">
        <v>2414</v>
      </c>
      <c r="P53" s="2973">
        <v>2415</v>
      </c>
      <c r="Q53" s="2973">
        <v>2416</v>
      </c>
      <c r="R53" s="2973">
        <v>2417</v>
      </c>
      <c r="S53" s="2973">
        <v>2418</v>
      </c>
      <c r="T53" s="2973">
        <v>2419</v>
      </c>
      <c r="U53" s="2973">
        <v>2420</v>
      </c>
      <c r="V53" s="2973">
        <v>2421</v>
      </c>
      <c r="W53" s="2973">
        <v>2422</v>
      </c>
      <c r="X53" s="2973">
        <v>2423</v>
      </c>
      <c r="Y53" s="2973">
        <v>2424</v>
      </c>
      <c r="Z53" s="2973">
        <v>2425</v>
      </c>
      <c r="AA53" s="2973">
        <v>2426</v>
      </c>
      <c r="AB53" s="2973">
        <v>2427</v>
      </c>
      <c r="AC53" s="2973">
        <v>2428</v>
      </c>
      <c r="AD53" s="2973">
        <v>2429</v>
      </c>
      <c r="AE53" s="2973">
        <v>2430</v>
      </c>
      <c r="AF53" s="2973">
        <v>2431</v>
      </c>
      <c r="AG53" s="2973">
        <v>2432</v>
      </c>
      <c r="AH53" s="2973">
        <v>2433</v>
      </c>
      <c r="AI53" s="2973">
        <v>2434</v>
      </c>
      <c r="AJ53" s="2973">
        <v>2435</v>
      </c>
    </row>
    <row r="54" spans="1:36">
      <c r="A54" s="2973" t="s">
        <v>3224</v>
      </c>
      <c r="B54" s="2973">
        <v>2301</v>
      </c>
      <c r="C54" s="2973">
        <v>2302</v>
      </c>
      <c r="D54" s="2973">
        <v>2303</v>
      </c>
      <c r="E54" s="2973">
        <v>2304</v>
      </c>
      <c r="F54" s="2973">
        <v>2305</v>
      </c>
      <c r="G54" s="2973">
        <v>2306</v>
      </c>
      <c r="H54" s="2973">
        <v>2307</v>
      </c>
      <c r="I54" s="2973">
        <v>2308</v>
      </c>
      <c r="J54" s="2973">
        <v>2309</v>
      </c>
      <c r="K54" s="2973">
        <v>2310</v>
      </c>
      <c r="L54" s="2973">
        <v>2311</v>
      </c>
      <c r="M54" s="2973">
        <v>2312</v>
      </c>
      <c r="N54" s="2973">
        <v>2313</v>
      </c>
      <c r="O54" s="2973">
        <v>2314</v>
      </c>
      <c r="P54" s="2973">
        <v>2315</v>
      </c>
      <c r="Q54" s="2973">
        <v>2316</v>
      </c>
      <c r="R54" s="2973">
        <v>2317</v>
      </c>
      <c r="S54" s="2973">
        <v>2318</v>
      </c>
      <c r="T54" s="2973">
        <v>2319</v>
      </c>
      <c r="U54" s="2973">
        <v>2320</v>
      </c>
      <c r="V54" s="2973">
        <v>2321</v>
      </c>
      <c r="W54" s="2973">
        <v>2322</v>
      </c>
      <c r="X54" s="2973">
        <v>2323</v>
      </c>
      <c r="Y54" s="2973">
        <v>2324</v>
      </c>
      <c r="Z54" s="2973">
        <v>2325</v>
      </c>
      <c r="AA54" s="2973">
        <v>2326</v>
      </c>
      <c r="AB54" s="2973">
        <v>2327</v>
      </c>
      <c r="AC54" s="2973">
        <v>2328</v>
      </c>
      <c r="AD54" s="2973">
        <v>2329</v>
      </c>
      <c r="AE54" s="2973">
        <v>2330</v>
      </c>
      <c r="AF54" s="2973">
        <v>2331</v>
      </c>
      <c r="AG54" s="2973">
        <v>2332</v>
      </c>
      <c r="AH54" s="2973">
        <v>2333</v>
      </c>
      <c r="AI54" s="2973">
        <v>2334</v>
      </c>
      <c r="AJ54" s="2973">
        <v>2335</v>
      </c>
    </row>
    <row r="55" spans="1:36">
      <c r="A55" s="2973" t="s">
        <v>3225</v>
      </c>
      <c r="B55" s="2973">
        <v>2201</v>
      </c>
      <c r="C55" s="2973">
        <v>2202</v>
      </c>
      <c r="D55" s="2973">
        <v>2203</v>
      </c>
      <c r="E55" s="2973">
        <v>2204</v>
      </c>
      <c r="F55" s="2973">
        <v>2205</v>
      </c>
      <c r="G55" s="2973">
        <v>2206</v>
      </c>
      <c r="H55" s="2973">
        <v>2207</v>
      </c>
      <c r="I55" s="2973">
        <v>2208</v>
      </c>
      <c r="J55" s="2973">
        <v>2209</v>
      </c>
      <c r="K55" s="2973">
        <v>2210</v>
      </c>
      <c r="L55" s="2973">
        <v>2211</v>
      </c>
      <c r="M55" s="2973">
        <v>2212</v>
      </c>
      <c r="N55" s="2973">
        <v>2213</v>
      </c>
      <c r="O55" s="2973">
        <v>2214</v>
      </c>
      <c r="P55" s="2973">
        <v>2215</v>
      </c>
      <c r="Q55" s="2973">
        <v>2216</v>
      </c>
      <c r="R55" s="2973">
        <v>2217</v>
      </c>
      <c r="S55" s="2973">
        <v>2218</v>
      </c>
      <c r="T55" s="2973">
        <v>2219</v>
      </c>
      <c r="U55" s="2973">
        <v>2220</v>
      </c>
      <c r="V55" s="2973">
        <v>2221</v>
      </c>
      <c r="W55" s="2973">
        <v>2222</v>
      </c>
      <c r="X55" s="2973">
        <v>2223</v>
      </c>
      <c r="Y55" s="2973">
        <v>2224</v>
      </c>
      <c r="Z55" s="2973">
        <v>2225</v>
      </c>
      <c r="AA55" s="2973">
        <v>2226</v>
      </c>
      <c r="AB55" s="2973">
        <v>2227</v>
      </c>
      <c r="AC55" s="2973">
        <v>2228</v>
      </c>
      <c r="AD55" s="2973">
        <v>2229</v>
      </c>
      <c r="AE55" s="2973">
        <v>2230</v>
      </c>
      <c r="AF55" s="2973">
        <v>2231</v>
      </c>
      <c r="AG55" s="2973">
        <v>2232</v>
      </c>
      <c r="AH55" s="2973">
        <v>2233</v>
      </c>
      <c r="AI55" s="2973">
        <v>2234</v>
      </c>
      <c r="AJ55" s="2973">
        <v>2235</v>
      </c>
    </row>
    <row r="56" spans="1:36">
      <c r="A56" s="2974" t="s">
        <v>3226</v>
      </c>
      <c r="B56" s="2974">
        <v>2101</v>
      </c>
      <c r="C56" s="2974">
        <v>2102</v>
      </c>
      <c r="D56" s="2974">
        <v>2103</v>
      </c>
      <c r="E56" s="2974">
        <v>2104</v>
      </c>
      <c r="F56" s="2974">
        <v>2105</v>
      </c>
      <c r="G56" s="2974">
        <v>2106</v>
      </c>
      <c r="H56" s="2974">
        <v>2107</v>
      </c>
      <c r="I56" s="2974">
        <v>2108</v>
      </c>
      <c r="J56" s="2974">
        <v>2109</v>
      </c>
      <c r="K56" s="2974">
        <v>2110</v>
      </c>
      <c r="L56" s="2974">
        <v>2111</v>
      </c>
      <c r="M56" s="2974">
        <v>2112</v>
      </c>
      <c r="N56" s="2974">
        <v>2113</v>
      </c>
      <c r="O56" s="2974">
        <v>2114</v>
      </c>
      <c r="P56" s="2974">
        <v>2115</v>
      </c>
      <c r="Q56" s="2974">
        <v>2116</v>
      </c>
      <c r="R56" s="2974">
        <v>2117</v>
      </c>
      <c r="S56" s="2974">
        <v>2118</v>
      </c>
      <c r="T56" s="2974">
        <v>2119</v>
      </c>
      <c r="U56" s="2974">
        <v>2120</v>
      </c>
      <c r="V56" s="2974">
        <v>2121</v>
      </c>
      <c r="W56" s="2974">
        <v>2122</v>
      </c>
      <c r="X56" s="2974">
        <v>2123</v>
      </c>
      <c r="Y56" s="2974">
        <v>2124</v>
      </c>
      <c r="Z56" s="2974">
        <v>2125</v>
      </c>
      <c r="AA56" s="2974">
        <v>2126</v>
      </c>
      <c r="AB56" s="2974">
        <v>2127</v>
      </c>
      <c r="AC56" s="2974">
        <v>2128</v>
      </c>
      <c r="AD56" s="2974">
        <v>2129</v>
      </c>
      <c r="AE56" s="2974">
        <v>2130</v>
      </c>
      <c r="AF56" s="2974">
        <v>2131</v>
      </c>
      <c r="AG56" s="2974">
        <v>2132</v>
      </c>
      <c r="AH56" s="2974">
        <v>2133</v>
      </c>
      <c r="AI56" s="2974">
        <v>2134</v>
      </c>
      <c r="AJ56" s="2974">
        <v>2135</v>
      </c>
    </row>
    <row r="57" spans="1:36">
      <c r="A57" s="2974" t="s">
        <v>3227</v>
      </c>
      <c r="B57" s="2974">
        <v>2001</v>
      </c>
      <c r="C57" s="2974">
        <v>2002</v>
      </c>
      <c r="D57" s="2974">
        <v>2003</v>
      </c>
      <c r="E57" s="2974">
        <v>2004</v>
      </c>
      <c r="F57" s="2974">
        <v>2005</v>
      </c>
      <c r="G57" s="2974">
        <v>2006</v>
      </c>
      <c r="H57" s="2974">
        <v>2007</v>
      </c>
      <c r="I57" s="2974">
        <v>2008</v>
      </c>
      <c r="J57" s="2974">
        <v>2009</v>
      </c>
      <c r="K57" s="2974">
        <v>2010</v>
      </c>
      <c r="L57" s="2974">
        <v>2011</v>
      </c>
      <c r="M57" s="2974">
        <v>2012</v>
      </c>
      <c r="N57" s="2974">
        <v>2013</v>
      </c>
      <c r="O57" s="2974">
        <v>2014</v>
      </c>
      <c r="P57" s="2974">
        <v>2015</v>
      </c>
      <c r="Q57" s="2974">
        <v>2016</v>
      </c>
      <c r="R57" s="2974">
        <v>2017</v>
      </c>
      <c r="S57" s="2974">
        <v>2018</v>
      </c>
      <c r="T57" s="2974">
        <v>2019</v>
      </c>
      <c r="U57" s="2974">
        <v>2020</v>
      </c>
      <c r="V57" s="2974">
        <v>2021</v>
      </c>
      <c r="W57" s="2974">
        <v>2022</v>
      </c>
      <c r="X57" s="2974">
        <v>2023</v>
      </c>
      <c r="Y57" s="2974">
        <v>2024</v>
      </c>
      <c r="Z57" s="2974">
        <v>2025</v>
      </c>
      <c r="AA57" s="2974">
        <v>2026</v>
      </c>
      <c r="AB57" s="2974">
        <v>2027</v>
      </c>
      <c r="AC57" s="2974">
        <v>2028</v>
      </c>
      <c r="AD57" s="2974">
        <v>2029</v>
      </c>
      <c r="AE57" s="2974">
        <v>2030</v>
      </c>
      <c r="AF57" s="2974">
        <v>2031</v>
      </c>
      <c r="AG57" s="2974">
        <v>2032</v>
      </c>
      <c r="AH57" s="2974">
        <v>2033</v>
      </c>
      <c r="AI57" s="2974">
        <v>2034</v>
      </c>
      <c r="AJ57" s="2974">
        <v>2035</v>
      </c>
    </row>
    <row r="58" spans="1:36">
      <c r="A58" s="2974" t="s">
        <v>3228</v>
      </c>
      <c r="B58" s="2974">
        <v>1901</v>
      </c>
      <c r="C58" s="2974">
        <v>1902</v>
      </c>
      <c r="D58" s="2974">
        <v>1903</v>
      </c>
      <c r="E58" s="2974">
        <v>1904</v>
      </c>
      <c r="F58" s="2974">
        <v>1905</v>
      </c>
      <c r="G58" s="2974">
        <v>1906</v>
      </c>
      <c r="H58" s="2974">
        <v>1907</v>
      </c>
      <c r="I58" s="2974">
        <v>1908</v>
      </c>
      <c r="J58" s="2974">
        <v>1909</v>
      </c>
      <c r="K58" s="2974">
        <v>1910</v>
      </c>
      <c r="L58" s="2974">
        <v>1911</v>
      </c>
      <c r="M58" s="2974">
        <v>1912</v>
      </c>
      <c r="N58" s="2974">
        <v>1913</v>
      </c>
      <c r="O58" s="2974">
        <v>1914</v>
      </c>
      <c r="P58" s="2974">
        <v>1915</v>
      </c>
      <c r="Q58" s="2974">
        <v>1916</v>
      </c>
      <c r="R58" s="2974">
        <v>1917</v>
      </c>
      <c r="S58" s="2974">
        <v>1918</v>
      </c>
      <c r="T58" s="2974">
        <v>1919</v>
      </c>
      <c r="U58" s="2974">
        <v>1920</v>
      </c>
      <c r="V58" s="2974">
        <v>1921</v>
      </c>
      <c r="W58" s="2974">
        <v>1922</v>
      </c>
      <c r="X58" s="2974">
        <v>1923</v>
      </c>
      <c r="Y58" s="2974">
        <v>1924</v>
      </c>
      <c r="Z58" s="2974">
        <v>1925</v>
      </c>
      <c r="AA58" s="2974">
        <v>1926</v>
      </c>
      <c r="AB58" s="2974">
        <v>1927</v>
      </c>
      <c r="AC58" s="2974">
        <v>1928</v>
      </c>
      <c r="AD58" s="2974">
        <v>1929</v>
      </c>
      <c r="AE58" s="2974">
        <v>1930</v>
      </c>
      <c r="AF58" s="2974">
        <v>1931</v>
      </c>
      <c r="AG58" s="2974">
        <v>1932</v>
      </c>
      <c r="AH58" s="2974">
        <v>1933</v>
      </c>
      <c r="AI58" s="2974">
        <v>1934</v>
      </c>
      <c r="AJ58" s="2974">
        <v>1935</v>
      </c>
    </row>
    <row r="59" spans="1:36">
      <c r="A59" s="2974" t="s">
        <v>3229</v>
      </c>
      <c r="B59" s="2974">
        <v>1801</v>
      </c>
      <c r="C59" s="2974">
        <v>1802</v>
      </c>
      <c r="D59" s="2974">
        <v>1803</v>
      </c>
      <c r="E59" s="2974">
        <v>1804</v>
      </c>
      <c r="F59" s="2974">
        <v>1805</v>
      </c>
      <c r="G59" s="2974">
        <v>1806</v>
      </c>
      <c r="H59" s="2974">
        <v>1807</v>
      </c>
      <c r="I59" s="2974">
        <v>1808</v>
      </c>
      <c r="J59" s="2974">
        <v>1809</v>
      </c>
      <c r="K59" s="2974">
        <v>1810</v>
      </c>
      <c r="L59" s="2974">
        <v>1811</v>
      </c>
      <c r="M59" s="2974">
        <v>1812</v>
      </c>
      <c r="N59" s="2974">
        <v>1813</v>
      </c>
      <c r="O59" s="2974">
        <v>1814</v>
      </c>
      <c r="P59" s="2974">
        <v>1815</v>
      </c>
      <c r="Q59" s="2974">
        <v>1816</v>
      </c>
      <c r="R59" s="2974">
        <v>1817</v>
      </c>
      <c r="S59" s="2974">
        <v>1818</v>
      </c>
      <c r="T59" s="2974">
        <v>1819</v>
      </c>
      <c r="U59" s="2974">
        <v>1820</v>
      </c>
      <c r="V59" s="2974">
        <v>1821</v>
      </c>
      <c r="W59" s="2974">
        <v>1822</v>
      </c>
      <c r="X59" s="2974">
        <v>1823</v>
      </c>
      <c r="Y59" s="2974">
        <v>1824</v>
      </c>
      <c r="Z59" s="2974">
        <v>1825</v>
      </c>
      <c r="AA59" s="2974">
        <v>1826</v>
      </c>
      <c r="AB59" s="2974">
        <v>1827</v>
      </c>
      <c r="AC59" s="2974">
        <v>1828</v>
      </c>
      <c r="AD59" s="2974">
        <v>1829</v>
      </c>
      <c r="AE59" s="2974">
        <v>1830</v>
      </c>
      <c r="AF59" s="2974">
        <v>1831</v>
      </c>
      <c r="AG59" s="2974">
        <v>1832</v>
      </c>
      <c r="AH59" s="2974">
        <v>1833</v>
      </c>
      <c r="AI59" s="2974">
        <v>1834</v>
      </c>
      <c r="AJ59" s="2974">
        <v>1835</v>
      </c>
    </row>
    <row r="60" spans="1:36">
      <c r="A60" s="2974" t="s">
        <v>3230</v>
      </c>
      <c r="B60" s="2974">
        <v>1701</v>
      </c>
      <c r="C60" s="2974">
        <v>1702</v>
      </c>
      <c r="D60" s="2974">
        <v>1703</v>
      </c>
      <c r="E60" s="2974">
        <v>1704</v>
      </c>
      <c r="F60" s="2974">
        <v>1705</v>
      </c>
      <c r="G60" s="2974">
        <v>1706</v>
      </c>
      <c r="H60" s="2974">
        <v>1707</v>
      </c>
      <c r="I60" s="2974">
        <v>1708</v>
      </c>
      <c r="J60" s="2974">
        <v>1709</v>
      </c>
      <c r="K60" s="2974">
        <v>1710</v>
      </c>
      <c r="L60" s="2974">
        <v>1711</v>
      </c>
      <c r="M60" s="2974">
        <v>1712</v>
      </c>
      <c r="N60" s="2974">
        <v>1713</v>
      </c>
      <c r="O60" s="2974">
        <v>1714</v>
      </c>
      <c r="P60" s="2974">
        <v>1715</v>
      </c>
      <c r="Q60" s="2974">
        <v>1716</v>
      </c>
      <c r="R60" s="2974">
        <v>1717</v>
      </c>
      <c r="S60" s="2974">
        <v>1718</v>
      </c>
      <c r="T60" s="2974">
        <v>1719</v>
      </c>
      <c r="U60" s="2974">
        <v>1720</v>
      </c>
      <c r="V60" s="2974">
        <v>1721</v>
      </c>
      <c r="W60" s="2974">
        <v>1722</v>
      </c>
      <c r="X60" s="2974">
        <v>1723</v>
      </c>
      <c r="Y60" s="2974">
        <v>1724</v>
      </c>
      <c r="Z60" s="2974">
        <v>1725</v>
      </c>
      <c r="AA60" s="2974">
        <v>1726</v>
      </c>
      <c r="AB60" s="2974">
        <v>1727</v>
      </c>
      <c r="AC60" s="2974">
        <v>1728</v>
      </c>
      <c r="AD60" s="2974">
        <v>1729</v>
      </c>
      <c r="AE60" s="2974">
        <v>1730</v>
      </c>
      <c r="AF60" s="2974">
        <v>1731</v>
      </c>
      <c r="AG60" s="2974">
        <v>1732</v>
      </c>
      <c r="AH60" s="2974">
        <v>1733</v>
      </c>
      <c r="AI60" s="2974">
        <v>1734</v>
      </c>
      <c r="AJ60" s="2974">
        <v>1735</v>
      </c>
    </row>
    <row r="61" spans="1:36">
      <c r="A61" s="2974" t="s">
        <v>3231</v>
      </c>
      <c r="B61" s="2974">
        <v>1601</v>
      </c>
      <c r="C61" s="2974">
        <v>1602</v>
      </c>
      <c r="D61" s="2974">
        <v>1603</v>
      </c>
      <c r="E61" s="2974">
        <v>1604</v>
      </c>
      <c r="F61" s="2974">
        <v>1605</v>
      </c>
      <c r="G61" s="2974">
        <v>1606</v>
      </c>
      <c r="H61" s="2974">
        <v>1607</v>
      </c>
      <c r="I61" s="2974">
        <v>1608</v>
      </c>
      <c r="J61" s="2974">
        <v>1609</v>
      </c>
      <c r="K61" s="2974">
        <v>1610</v>
      </c>
      <c r="L61" s="2974">
        <v>1611</v>
      </c>
      <c r="M61" s="2974">
        <v>1612</v>
      </c>
      <c r="N61" s="2974">
        <v>1613</v>
      </c>
      <c r="O61" s="2974">
        <v>1614</v>
      </c>
      <c r="P61" s="2974">
        <v>1615</v>
      </c>
      <c r="Q61" s="2974">
        <v>1616</v>
      </c>
      <c r="R61" s="2974">
        <v>1617</v>
      </c>
      <c r="S61" s="2974">
        <v>1618</v>
      </c>
      <c r="T61" s="2974">
        <v>1619</v>
      </c>
      <c r="U61" s="2974">
        <v>1620</v>
      </c>
      <c r="V61" s="2974">
        <v>1621</v>
      </c>
      <c r="W61" s="2974">
        <v>1622</v>
      </c>
      <c r="X61" s="2974">
        <v>1623</v>
      </c>
      <c r="Y61" s="2974">
        <v>1624</v>
      </c>
      <c r="Z61" s="2974">
        <v>1625</v>
      </c>
      <c r="AA61" s="2974">
        <v>1626</v>
      </c>
      <c r="AB61" s="2974">
        <v>1627</v>
      </c>
      <c r="AC61" s="2974">
        <v>1628</v>
      </c>
      <c r="AD61" s="2974">
        <v>1629</v>
      </c>
      <c r="AE61" s="2974">
        <v>1630</v>
      </c>
      <c r="AF61" s="2974">
        <v>1631</v>
      </c>
      <c r="AG61" s="2974">
        <v>1632</v>
      </c>
      <c r="AH61" s="2974">
        <v>1633</v>
      </c>
      <c r="AI61" s="2974">
        <v>1634</v>
      </c>
      <c r="AJ61" s="2974">
        <v>1635</v>
      </c>
    </row>
    <row r="62" spans="1:36">
      <c r="A62" s="2974" t="s">
        <v>3232</v>
      </c>
      <c r="B62" s="2974">
        <v>1501</v>
      </c>
      <c r="C62" s="2974">
        <v>1502</v>
      </c>
      <c r="D62" s="2974">
        <v>1503</v>
      </c>
      <c r="E62" s="2974">
        <v>1504</v>
      </c>
      <c r="F62" s="2974">
        <v>1505</v>
      </c>
      <c r="G62" s="2974">
        <v>1506</v>
      </c>
      <c r="H62" s="2974">
        <v>1507</v>
      </c>
      <c r="I62" s="2974">
        <v>1508</v>
      </c>
      <c r="J62" s="2974">
        <v>1509</v>
      </c>
      <c r="K62" s="2974">
        <v>1510</v>
      </c>
      <c r="L62" s="2974">
        <v>1511</v>
      </c>
      <c r="M62" s="2974">
        <v>1512</v>
      </c>
      <c r="N62" s="2974">
        <v>1513</v>
      </c>
      <c r="O62" s="2974">
        <v>1514</v>
      </c>
      <c r="P62" s="2974">
        <v>1515</v>
      </c>
      <c r="Q62" s="2974">
        <v>1516</v>
      </c>
      <c r="R62" s="2974">
        <v>1517</v>
      </c>
      <c r="S62" s="2974">
        <v>1518</v>
      </c>
      <c r="T62" s="2974">
        <v>1519</v>
      </c>
      <c r="U62" s="2974">
        <v>1520</v>
      </c>
      <c r="V62" s="2974">
        <v>1521</v>
      </c>
      <c r="W62" s="2974">
        <v>1522</v>
      </c>
      <c r="X62" s="2974">
        <v>1523</v>
      </c>
      <c r="Y62" s="2974">
        <v>1524</v>
      </c>
      <c r="Z62" s="2974">
        <v>1525</v>
      </c>
      <c r="AA62" s="2974">
        <v>1526</v>
      </c>
      <c r="AB62" s="2974">
        <v>1527</v>
      </c>
      <c r="AC62" s="2974">
        <v>1528</v>
      </c>
      <c r="AD62" s="2974">
        <v>1529</v>
      </c>
      <c r="AE62" s="2974">
        <v>1530</v>
      </c>
      <c r="AF62" s="2974">
        <v>1531</v>
      </c>
      <c r="AG62" s="2974">
        <v>1532</v>
      </c>
      <c r="AH62" s="2974">
        <v>1533</v>
      </c>
      <c r="AI62" s="2974">
        <v>1534</v>
      </c>
      <c r="AJ62" s="2974">
        <v>1535</v>
      </c>
    </row>
    <row r="63" spans="1:36">
      <c r="A63" s="2974" t="s">
        <v>3233</v>
      </c>
      <c r="B63" s="2974">
        <v>1401</v>
      </c>
      <c r="C63" s="2974">
        <v>1402</v>
      </c>
      <c r="D63" s="2974">
        <v>1403</v>
      </c>
      <c r="E63" s="2974">
        <v>1404</v>
      </c>
      <c r="F63" s="2974">
        <v>1405</v>
      </c>
      <c r="G63" s="2974">
        <v>1406</v>
      </c>
      <c r="H63" s="2974">
        <v>1407</v>
      </c>
      <c r="I63" s="2974">
        <v>1408</v>
      </c>
      <c r="J63" s="2974">
        <v>1409</v>
      </c>
      <c r="K63" s="2974">
        <v>1410</v>
      </c>
      <c r="L63" s="2974">
        <v>1411</v>
      </c>
      <c r="M63" s="2974">
        <v>1412</v>
      </c>
      <c r="N63" s="2974">
        <v>1413</v>
      </c>
      <c r="O63" s="2974">
        <v>1414</v>
      </c>
      <c r="P63" s="2974">
        <v>1415</v>
      </c>
      <c r="Q63" s="2974">
        <v>1416</v>
      </c>
      <c r="R63" s="2974">
        <v>1417</v>
      </c>
      <c r="S63" s="2974">
        <v>1418</v>
      </c>
      <c r="T63" s="2974">
        <v>1419</v>
      </c>
      <c r="U63" s="2974">
        <v>1420</v>
      </c>
      <c r="V63" s="2974">
        <v>1421</v>
      </c>
      <c r="W63" s="2974">
        <v>1422</v>
      </c>
      <c r="X63" s="2974">
        <v>1423</v>
      </c>
      <c r="Y63" s="2974">
        <v>1424</v>
      </c>
      <c r="Z63" s="2974">
        <v>1425</v>
      </c>
      <c r="AA63" s="2974">
        <v>1426</v>
      </c>
      <c r="AB63" s="2974">
        <v>1427</v>
      </c>
      <c r="AC63" s="2974">
        <v>1428</v>
      </c>
      <c r="AD63" s="2974">
        <v>1429</v>
      </c>
      <c r="AE63" s="2974">
        <v>1430</v>
      </c>
      <c r="AF63" s="2974">
        <v>1431</v>
      </c>
      <c r="AG63" s="2974">
        <v>1432</v>
      </c>
      <c r="AH63" s="2974">
        <v>1433</v>
      </c>
      <c r="AI63" s="2974">
        <v>1434</v>
      </c>
      <c r="AJ63" s="2974">
        <v>1435</v>
      </c>
    </row>
    <row r="64" spans="1:36">
      <c r="A64" s="2974" t="s">
        <v>3234</v>
      </c>
      <c r="B64" s="2974">
        <v>1301</v>
      </c>
      <c r="C64" s="2974">
        <v>1302</v>
      </c>
      <c r="D64" s="2974">
        <v>1303</v>
      </c>
      <c r="E64" s="2974">
        <v>1304</v>
      </c>
      <c r="F64" s="2974">
        <v>1305</v>
      </c>
      <c r="G64" s="2974">
        <v>1306</v>
      </c>
      <c r="H64" s="2974">
        <v>1307</v>
      </c>
      <c r="I64" s="2974">
        <v>1308</v>
      </c>
      <c r="J64" s="2974">
        <v>1309</v>
      </c>
      <c r="K64" s="2974">
        <v>1310</v>
      </c>
      <c r="L64" s="2974">
        <v>1311</v>
      </c>
      <c r="M64" s="2974">
        <v>1312</v>
      </c>
      <c r="N64" s="2974">
        <v>1313</v>
      </c>
      <c r="O64" s="2974">
        <v>1314</v>
      </c>
      <c r="P64" s="2974">
        <v>1315</v>
      </c>
      <c r="Q64" s="2974">
        <v>1316</v>
      </c>
      <c r="R64" s="2974">
        <v>1317</v>
      </c>
      <c r="S64" s="2974">
        <v>1318</v>
      </c>
      <c r="T64" s="2974">
        <v>1319</v>
      </c>
      <c r="U64" s="2974">
        <v>1320</v>
      </c>
      <c r="V64" s="2974">
        <v>1321</v>
      </c>
      <c r="W64" s="2974">
        <v>1322</v>
      </c>
      <c r="X64" s="2974">
        <v>1323</v>
      </c>
      <c r="Y64" s="2974">
        <v>1324</v>
      </c>
      <c r="Z64" s="2974">
        <v>1325</v>
      </c>
      <c r="AA64" s="2974">
        <v>1326</v>
      </c>
      <c r="AB64" s="2974">
        <v>1327</v>
      </c>
      <c r="AC64" s="2974">
        <v>1328</v>
      </c>
      <c r="AD64" s="2974">
        <v>1329</v>
      </c>
      <c r="AE64" s="2974">
        <v>1330</v>
      </c>
      <c r="AF64" s="2974">
        <v>1331</v>
      </c>
      <c r="AG64" s="2974">
        <v>1332</v>
      </c>
      <c r="AH64" s="2974">
        <v>1333</v>
      </c>
      <c r="AI64" s="2974">
        <v>1334</v>
      </c>
      <c r="AJ64" s="2974">
        <v>1335</v>
      </c>
    </row>
    <row r="65" spans="1:36">
      <c r="A65" s="2974" t="s">
        <v>3235</v>
      </c>
      <c r="B65" s="2974">
        <v>1201</v>
      </c>
      <c r="C65" s="2974">
        <v>1202</v>
      </c>
      <c r="D65" s="2974">
        <v>1203</v>
      </c>
      <c r="E65" s="2974">
        <v>1204</v>
      </c>
      <c r="F65" s="2974">
        <v>1205</v>
      </c>
      <c r="G65" s="2974">
        <v>1206</v>
      </c>
      <c r="H65" s="2974">
        <v>1207</v>
      </c>
      <c r="I65" s="2974">
        <v>1208</v>
      </c>
      <c r="J65" s="2974">
        <v>1209</v>
      </c>
      <c r="K65" s="2974">
        <v>1210</v>
      </c>
      <c r="L65" s="2974">
        <v>1211</v>
      </c>
      <c r="M65" s="2974">
        <v>1212</v>
      </c>
      <c r="N65" s="2974">
        <v>1213</v>
      </c>
      <c r="O65" s="2974">
        <v>1214</v>
      </c>
      <c r="P65" s="2974">
        <v>1215</v>
      </c>
      <c r="Q65" s="2974">
        <v>1216</v>
      </c>
      <c r="R65" s="2974">
        <v>1217</v>
      </c>
      <c r="S65" s="2974">
        <v>1218</v>
      </c>
      <c r="T65" s="2974">
        <v>1219</v>
      </c>
      <c r="U65" s="2974">
        <v>1220</v>
      </c>
      <c r="V65" s="2974">
        <v>1221</v>
      </c>
      <c r="W65" s="2974">
        <v>1222</v>
      </c>
      <c r="X65" s="2974">
        <v>1223</v>
      </c>
      <c r="Y65" s="2974">
        <v>1224</v>
      </c>
      <c r="Z65" s="2974">
        <v>1225</v>
      </c>
      <c r="AA65" s="2974">
        <v>1226</v>
      </c>
      <c r="AB65" s="2974">
        <v>1217</v>
      </c>
      <c r="AC65" s="2974">
        <v>1228</v>
      </c>
      <c r="AD65" s="2974">
        <v>1229</v>
      </c>
      <c r="AE65" s="2974">
        <v>1230</v>
      </c>
      <c r="AF65" s="2974">
        <v>1231</v>
      </c>
      <c r="AG65" s="2974">
        <v>1232</v>
      </c>
      <c r="AH65" s="2974">
        <v>1233</v>
      </c>
      <c r="AI65" s="2974">
        <v>1234</v>
      </c>
      <c r="AJ65" s="2974">
        <v>1235</v>
      </c>
    </row>
    <row r="66" spans="1:36">
      <c r="A66" s="2974" t="s">
        <v>3236</v>
      </c>
      <c r="B66" s="2974">
        <v>1101</v>
      </c>
      <c r="C66" s="2974">
        <v>1102</v>
      </c>
      <c r="D66" s="2974">
        <v>1103</v>
      </c>
      <c r="E66" s="2974">
        <v>1104</v>
      </c>
      <c r="F66" s="2974">
        <v>1105</v>
      </c>
      <c r="G66" s="2974">
        <v>1106</v>
      </c>
      <c r="H66" s="2974">
        <v>1107</v>
      </c>
      <c r="I66" s="2974">
        <v>1108</v>
      </c>
      <c r="J66" s="2974">
        <v>1109</v>
      </c>
      <c r="K66" s="2974">
        <v>1110</v>
      </c>
      <c r="L66" s="2974">
        <v>1111</v>
      </c>
      <c r="M66" s="2974">
        <v>1112</v>
      </c>
      <c r="N66" s="2974">
        <v>1113</v>
      </c>
      <c r="O66" s="2974">
        <v>1114</v>
      </c>
      <c r="P66" s="2974">
        <v>1115</v>
      </c>
      <c r="Q66" s="2974">
        <v>1116</v>
      </c>
      <c r="R66" s="2974">
        <v>1117</v>
      </c>
      <c r="S66" s="2974">
        <v>1118</v>
      </c>
      <c r="T66" s="2974">
        <v>1119</v>
      </c>
      <c r="U66" s="2974">
        <v>1120</v>
      </c>
      <c r="V66" s="2974">
        <v>1121</v>
      </c>
      <c r="W66" s="2974">
        <v>1122</v>
      </c>
      <c r="X66" s="2974">
        <v>1123</v>
      </c>
      <c r="Y66" s="2974">
        <v>1124</v>
      </c>
      <c r="Z66" s="2974">
        <v>1125</v>
      </c>
      <c r="AA66" s="2974">
        <v>1126</v>
      </c>
      <c r="AB66" s="2974">
        <v>1127</v>
      </c>
      <c r="AC66" s="2974">
        <v>1128</v>
      </c>
      <c r="AD66" s="2974">
        <v>1129</v>
      </c>
      <c r="AE66" s="2974">
        <v>1130</v>
      </c>
      <c r="AF66" s="2974">
        <v>1131</v>
      </c>
      <c r="AG66" s="2974">
        <v>1132</v>
      </c>
      <c r="AH66" s="2974">
        <v>1133</v>
      </c>
      <c r="AI66" s="2974">
        <v>1134</v>
      </c>
      <c r="AJ66" s="2974">
        <v>1135</v>
      </c>
    </row>
    <row r="67" spans="1:36">
      <c r="A67" s="2974" t="s">
        <v>3237</v>
      </c>
      <c r="B67" s="2974">
        <v>1001</v>
      </c>
      <c r="C67" s="2974">
        <v>1002</v>
      </c>
      <c r="D67" s="2974">
        <v>1003</v>
      </c>
      <c r="E67" s="2974">
        <v>1004</v>
      </c>
      <c r="F67" s="2974">
        <v>1005</v>
      </c>
      <c r="G67" s="2974">
        <v>1006</v>
      </c>
      <c r="H67" s="2974">
        <v>1007</v>
      </c>
      <c r="I67" s="2974">
        <v>1008</v>
      </c>
      <c r="J67" s="2974">
        <v>1009</v>
      </c>
      <c r="K67" s="2974">
        <v>1010</v>
      </c>
      <c r="L67" s="2974">
        <v>1011</v>
      </c>
      <c r="M67" s="2974">
        <v>1012</v>
      </c>
      <c r="N67" s="2974">
        <v>1013</v>
      </c>
      <c r="O67" s="2974">
        <v>1014</v>
      </c>
      <c r="P67" s="2974">
        <v>1015</v>
      </c>
      <c r="Q67" s="2974">
        <v>1016</v>
      </c>
      <c r="R67" s="2974">
        <v>1017</v>
      </c>
      <c r="S67" s="2974">
        <v>1018</v>
      </c>
      <c r="T67" s="2974">
        <v>1019</v>
      </c>
      <c r="U67" s="2974">
        <v>1020</v>
      </c>
      <c r="V67" s="2974">
        <v>1021</v>
      </c>
      <c r="W67" s="2974">
        <v>1022</v>
      </c>
      <c r="X67" s="2974">
        <v>1023</v>
      </c>
      <c r="Y67" s="2974">
        <v>1024</v>
      </c>
      <c r="Z67" s="2974">
        <v>1025</v>
      </c>
      <c r="AA67" s="2974">
        <v>1026</v>
      </c>
      <c r="AB67" s="2974">
        <v>1027</v>
      </c>
      <c r="AC67" s="2974">
        <v>1028</v>
      </c>
      <c r="AD67" s="2974">
        <v>1029</v>
      </c>
      <c r="AE67" s="2974">
        <v>1030</v>
      </c>
      <c r="AF67" s="2974">
        <v>1031</v>
      </c>
      <c r="AG67" s="2974">
        <v>1032</v>
      </c>
      <c r="AH67" s="2974">
        <v>1033</v>
      </c>
      <c r="AI67" s="2974">
        <v>1034</v>
      </c>
      <c r="AJ67" s="2974">
        <v>1035</v>
      </c>
    </row>
    <row r="68" spans="1:36">
      <c r="A68" s="2974" t="s">
        <v>3238</v>
      </c>
      <c r="B68" s="2974">
        <v>901</v>
      </c>
      <c r="C68" s="2974">
        <v>902</v>
      </c>
      <c r="D68" s="2974">
        <v>903</v>
      </c>
      <c r="E68" s="2974">
        <v>904</v>
      </c>
      <c r="F68" s="2974">
        <v>905</v>
      </c>
      <c r="G68" s="2974">
        <v>906</v>
      </c>
      <c r="H68" s="2974">
        <v>907</v>
      </c>
      <c r="I68" s="2974">
        <v>908</v>
      </c>
      <c r="J68" s="2974">
        <v>909</v>
      </c>
      <c r="K68" s="2974">
        <v>910</v>
      </c>
      <c r="L68" s="2974">
        <v>911</v>
      </c>
      <c r="M68" s="2974">
        <v>912</v>
      </c>
      <c r="N68" s="2974">
        <v>913</v>
      </c>
      <c r="O68" s="2974">
        <v>914</v>
      </c>
      <c r="P68" s="2974">
        <v>915</v>
      </c>
      <c r="Q68" s="2974">
        <v>916</v>
      </c>
      <c r="R68" s="2974">
        <v>917</v>
      </c>
      <c r="S68" s="2974">
        <v>918</v>
      </c>
      <c r="T68" s="2974">
        <v>919</v>
      </c>
      <c r="U68" s="2974">
        <v>920</v>
      </c>
      <c r="V68" s="2974">
        <v>921</v>
      </c>
      <c r="W68" s="2974">
        <v>922</v>
      </c>
      <c r="X68" s="2974">
        <v>923</v>
      </c>
      <c r="Y68" s="2974">
        <v>924</v>
      </c>
      <c r="Z68" s="2974">
        <v>925</v>
      </c>
      <c r="AA68" s="2974">
        <v>926</v>
      </c>
      <c r="AB68" s="2974">
        <v>927</v>
      </c>
      <c r="AC68" s="2974">
        <v>928</v>
      </c>
      <c r="AD68" s="2974">
        <v>929</v>
      </c>
      <c r="AE68" s="2974">
        <v>930</v>
      </c>
      <c r="AF68" s="2974">
        <v>931</v>
      </c>
      <c r="AG68" s="2974">
        <v>932</v>
      </c>
      <c r="AH68" s="2974">
        <v>933</v>
      </c>
      <c r="AI68" s="2974">
        <v>934</v>
      </c>
      <c r="AJ68" s="2974">
        <v>935</v>
      </c>
    </row>
    <row r="69" spans="1:36">
      <c r="A69" s="2974" t="s">
        <v>3239</v>
      </c>
      <c r="B69" s="2974">
        <v>801</v>
      </c>
      <c r="C69" s="2974">
        <v>802</v>
      </c>
      <c r="D69" s="2974">
        <v>803</v>
      </c>
      <c r="E69" s="2974">
        <v>804</v>
      </c>
      <c r="F69" s="2974">
        <v>805</v>
      </c>
      <c r="G69" s="2974">
        <v>806</v>
      </c>
      <c r="H69" s="2974">
        <v>807</v>
      </c>
      <c r="I69" s="2974">
        <v>808</v>
      </c>
      <c r="J69" s="2974">
        <v>809</v>
      </c>
      <c r="K69" s="2974">
        <v>810</v>
      </c>
      <c r="L69" s="2974">
        <v>811</v>
      </c>
      <c r="M69" s="2974">
        <v>812</v>
      </c>
      <c r="N69" s="2974">
        <v>813</v>
      </c>
      <c r="O69" s="2974">
        <v>814</v>
      </c>
      <c r="P69" s="2974">
        <v>815</v>
      </c>
      <c r="Q69" s="2974">
        <v>816</v>
      </c>
      <c r="R69" s="2974">
        <v>817</v>
      </c>
      <c r="S69" s="2974">
        <v>818</v>
      </c>
      <c r="T69" s="2974">
        <v>819</v>
      </c>
      <c r="U69" s="2974">
        <v>820</v>
      </c>
      <c r="V69" s="2974">
        <v>821</v>
      </c>
      <c r="W69" s="2974">
        <v>822</v>
      </c>
      <c r="X69" s="2974">
        <v>823</v>
      </c>
      <c r="Y69" s="2974">
        <v>824</v>
      </c>
      <c r="Z69" s="2974">
        <v>825</v>
      </c>
      <c r="AA69" s="2974">
        <v>826</v>
      </c>
      <c r="AB69" s="2974">
        <v>827</v>
      </c>
      <c r="AC69" s="2974">
        <v>828</v>
      </c>
      <c r="AD69" s="2974">
        <v>829</v>
      </c>
      <c r="AE69" s="2974">
        <v>830</v>
      </c>
      <c r="AF69" s="2974">
        <v>831</v>
      </c>
      <c r="AG69" s="2974">
        <v>832</v>
      </c>
      <c r="AH69" s="2974">
        <v>833</v>
      </c>
      <c r="AI69" s="2974">
        <v>834</v>
      </c>
      <c r="AJ69" s="2974">
        <v>835</v>
      </c>
    </row>
    <row r="70" spans="1:36">
      <c r="A70" s="2974" t="s">
        <v>3240</v>
      </c>
      <c r="B70" s="2974">
        <v>701</v>
      </c>
      <c r="C70" s="2974">
        <v>702</v>
      </c>
      <c r="D70" s="2974">
        <v>703</v>
      </c>
      <c r="E70" s="2974">
        <v>704</v>
      </c>
      <c r="F70" s="2974">
        <v>705</v>
      </c>
      <c r="G70" s="2974">
        <v>706</v>
      </c>
      <c r="H70" s="2974">
        <v>707</v>
      </c>
      <c r="I70" s="2974">
        <v>708</v>
      </c>
      <c r="J70" s="2974">
        <v>709</v>
      </c>
      <c r="K70" s="2974">
        <v>710</v>
      </c>
      <c r="L70" s="2974">
        <v>711</v>
      </c>
      <c r="M70" s="2974">
        <v>712</v>
      </c>
      <c r="N70" s="2974">
        <v>713</v>
      </c>
      <c r="O70" s="2974">
        <v>714</v>
      </c>
      <c r="P70" s="2974">
        <v>715</v>
      </c>
      <c r="Q70" s="2974">
        <v>716</v>
      </c>
      <c r="R70" s="2974">
        <v>717</v>
      </c>
      <c r="S70" s="2974">
        <v>718</v>
      </c>
      <c r="T70" s="2974">
        <v>719</v>
      </c>
      <c r="U70" s="2974">
        <v>720</v>
      </c>
      <c r="V70" s="2974">
        <v>721</v>
      </c>
      <c r="W70" s="2974">
        <v>722</v>
      </c>
      <c r="X70" s="2974">
        <v>723</v>
      </c>
      <c r="Y70" s="2974">
        <v>724</v>
      </c>
      <c r="Z70" s="2974">
        <v>725</v>
      </c>
      <c r="AA70" s="2974">
        <v>726</v>
      </c>
      <c r="AB70" s="2974">
        <v>727</v>
      </c>
      <c r="AC70" s="2974">
        <v>728</v>
      </c>
      <c r="AD70" s="2974">
        <v>729</v>
      </c>
      <c r="AE70" s="2974">
        <v>730</v>
      </c>
      <c r="AF70" s="2974">
        <v>731</v>
      </c>
      <c r="AG70" s="2974">
        <v>732</v>
      </c>
      <c r="AH70" s="2974">
        <v>733</v>
      </c>
      <c r="AI70" s="2974">
        <v>734</v>
      </c>
      <c r="AJ70" s="2974">
        <v>735</v>
      </c>
    </row>
    <row r="71" spans="1:36">
      <c r="A71" s="2974" t="s">
        <v>3221</v>
      </c>
      <c r="B71" s="2974">
        <v>68.069999999999993</v>
      </c>
      <c r="C71" s="2974">
        <v>47.61</v>
      </c>
      <c r="D71" s="2974">
        <v>52.41</v>
      </c>
      <c r="E71" s="2974">
        <v>56.59</v>
      </c>
      <c r="F71" s="2974">
        <v>59.93</v>
      </c>
      <c r="G71" s="2974">
        <v>61.68</v>
      </c>
      <c r="H71" s="2974">
        <v>61.95</v>
      </c>
      <c r="I71" s="2974">
        <v>62</v>
      </c>
      <c r="J71" s="2974">
        <v>62.33</v>
      </c>
      <c r="K71" s="2974">
        <v>63.01</v>
      </c>
      <c r="L71" s="2974">
        <v>64.52</v>
      </c>
      <c r="M71" s="2974">
        <v>65.959999999999994</v>
      </c>
      <c r="N71" s="2974">
        <v>63.6</v>
      </c>
      <c r="O71" s="2974">
        <v>75.5</v>
      </c>
      <c r="P71" s="2974">
        <v>69.900000000000006</v>
      </c>
      <c r="Q71" s="2974">
        <v>67.430000000000007</v>
      </c>
      <c r="R71" s="2974">
        <v>68.87</v>
      </c>
      <c r="S71" s="2974">
        <v>68.52</v>
      </c>
      <c r="T71" s="2974">
        <v>70.69</v>
      </c>
      <c r="U71" s="2974">
        <v>73.27</v>
      </c>
      <c r="V71" s="2974">
        <v>71.22</v>
      </c>
      <c r="W71" s="2974">
        <v>63.66</v>
      </c>
      <c r="X71" s="2974">
        <v>58.47</v>
      </c>
      <c r="Y71" s="2974">
        <v>58.02</v>
      </c>
      <c r="Z71" s="2974">
        <v>66.510000000000005</v>
      </c>
      <c r="AA71" s="2974">
        <v>56.29</v>
      </c>
      <c r="AB71" s="2974">
        <v>58.42</v>
      </c>
      <c r="AC71" s="2974">
        <v>64.150000000000006</v>
      </c>
      <c r="AD71" s="2974">
        <v>56.85</v>
      </c>
      <c r="AE71" s="2974">
        <v>57.35</v>
      </c>
      <c r="AF71" s="2974">
        <v>56.46</v>
      </c>
      <c r="AG71" s="2974">
        <v>55.18</v>
      </c>
      <c r="AH71" s="2974">
        <v>55.07</v>
      </c>
      <c r="AI71" s="2974">
        <v>55.53</v>
      </c>
      <c r="AJ71" s="2974">
        <v>55.2</v>
      </c>
    </row>
    <row r="72" spans="1:36">
      <c r="A72" s="2974" t="s">
        <v>3241</v>
      </c>
      <c r="B72" s="2974">
        <v>601</v>
      </c>
      <c r="C72" s="2974">
        <v>602</v>
      </c>
      <c r="D72" s="2974">
        <v>603</v>
      </c>
      <c r="E72" s="2974">
        <v>604</v>
      </c>
      <c r="F72" s="2974">
        <v>605</v>
      </c>
      <c r="G72" s="2974">
        <v>606</v>
      </c>
      <c r="H72" s="2974">
        <v>607</v>
      </c>
      <c r="I72" s="2974">
        <v>608</v>
      </c>
      <c r="J72" s="2974">
        <v>609</v>
      </c>
      <c r="K72" s="2974">
        <v>610</v>
      </c>
      <c r="L72" s="2974">
        <v>611</v>
      </c>
      <c r="M72" s="2974">
        <v>612</v>
      </c>
      <c r="N72" s="2974">
        <v>613</v>
      </c>
      <c r="O72" s="2974">
        <v>614</v>
      </c>
      <c r="P72" s="2974">
        <v>615</v>
      </c>
      <c r="Q72" s="2974">
        <v>616</v>
      </c>
      <c r="R72" s="2974">
        <v>617</v>
      </c>
      <c r="S72" s="2974">
        <v>618</v>
      </c>
      <c r="T72" s="2974">
        <v>619</v>
      </c>
      <c r="U72" s="2974">
        <v>620</v>
      </c>
      <c r="V72" s="2974">
        <v>621</v>
      </c>
      <c r="W72" s="2974">
        <v>622</v>
      </c>
      <c r="X72" s="2974">
        <v>623</v>
      </c>
      <c r="Y72" s="2974">
        <v>624</v>
      </c>
      <c r="Z72" s="2974">
        <v>625</v>
      </c>
      <c r="AA72" s="2974">
        <v>626</v>
      </c>
      <c r="AB72" s="2974">
        <v>627</v>
      </c>
      <c r="AC72" s="2974">
        <v>628</v>
      </c>
      <c r="AD72" s="2974">
        <v>629</v>
      </c>
      <c r="AE72" s="2974">
        <v>630</v>
      </c>
      <c r="AF72" s="2974">
        <v>631</v>
      </c>
      <c r="AG72" s="2974">
        <v>632</v>
      </c>
      <c r="AH72" s="2974">
        <v>633</v>
      </c>
      <c r="AI72" s="2974">
        <v>634</v>
      </c>
      <c r="AJ72" s="2974">
        <v>635</v>
      </c>
    </row>
    <row r="73" spans="1:36">
      <c r="A73" s="2974" t="s">
        <v>3221</v>
      </c>
      <c r="B73" s="2974">
        <v>60.87</v>
      </c>
      <c r="C73" s="2974">
        <v>47.61</v>
      </c>
      <c r="D73" s="2974">
        <v>52.42</v>
      </c>
      <c r="E73" s="2974">
        <v>56.6</v>
      </c>
      <c r="F73" s="2974">
        <v>59.94</v>
      </c>
      <c r="G73" s="2974">
        <v>61.69</v>
      </c>
      <c r="H73" s="2974">
        <v>61.96</v>
      </c>
      <c r="I73" s="2974">
        <v>62.01</v>
      </c>
      <c r="J73" s="2974">
        <v>62.34</v>
      </c>
      <c r="K73" s="2974">
        <v>63.03</v>
      </c>
      <c r="L73" s="2974">
        <v>64.53</v>
      </c>
      <c r="M73" s="2974">
        <v>65.97</v>
      </c>
      <c r="N73" s="2974">
        <v>63.61</v>
      </c>
      <c r="O73" s="2974">
        <v>75.510000000000005</v>
      </c>
      <c r="P73" s="2974">
        <v>69.91</v>
      </c>
      <c r="Q73" s="2974">
        <v>67.45</v>
      </c>
      <c r="R73" s="2974">
        <v>68.88</v>
      </c>
      <c r="S73" s="2974">
        <v>68.540000000000006</v>
      </c>
      <c r="T73" s="2974">
        <v>70.7</v>
      </c>
      <c r="U73" s="2974">
        <v>73.290000000000006</v>
      </c>
      <c r="V73" s="2974">
        <v>71.25</v>
      </c>
      <c r="W73" s="2974">
        <v>63.66</v>
      </c>
      <c r="X73" s="2974">
        <v>58.49</v>
      </c>
      <c r="Y73" s="2974">
        <v>58.02</v>
      </c>
      <c r="Z73" s="2974">
        <v>66.540000000000006</v>
      </c>
      <c r="AA73" s="2974">
        <v>56.3</v>
      </c>
      <c r="AB73" s="2974">
        <v>58.43</v>
      </c>
      <c r="AC73" s="2974">
        <v>64.16</v>
      </c>
      <c r="AD73" s="2974">
        <v>56.88</v>
      </c>
      <c r="AE73" s="2974">
        <v>57.33</v>
      </c>
      <c r="AF73" s="2974">
        <v>56.47</v>
      </c>
      <c r="AG73" s="2974">
        <v>55.21</v>
      </c>
      <c r="AH73" s="2974">
        <v>55.06</v>
      </c>
      <c r="AI73" s="2974">
        <v>55.54</v>
      </c>
      <c r="AJ73" s="2974">
        <v>43.07</v>
      </c>
    </row>
    <row r="74" spans="1:36">
      <c r="A74" s="2974" t="s">
        <v>3242</v>
      </c>
      <c r="B74" s="2974">
        <v>501</v>
      </c>
      <c r="C74" s="2974">
        <v>502</v>
      </c>
      <c r="D74" s="2974">
        <v>503</v>
      </c>
      <c r="E74" s="2974">
        <v>504</v>
      </c>
      <c r="F74" s="2974">
        <v>505</v>
      </c>
      <c r="G74" s="2974">
        <v>506</v>
      </c>
      <c r="H74" s="2974">
        <v>507</v>
      </c>
      <c r="I74" s="2974">
        <v>508</v>
      </c>
      <c r="J74" s="2974">
        <v>509</v>
      </c>
      <c r="K74" s="2974">
        <v>510</v>
      </c>
      <c r="L74" s="2974">
        <v>511</v>
      </c>
      <c r="M74" s="2974">
        <v>512</v>
      </c>
      <c r="N74" s="2974">
        <v>513</v>
      </c>
      <c r="O74" s="2974">
        <v>514</v>
      </c>
      <c r="P74" s="2974">
        <v>515</v>
      </c>
      <c r="Q74" s="2974">
        <v>516</v>
      </c>
      <c r="R74" s="2974">
        <v>517</v>
      </c>
      <c r="S74" s="2974">
        <v>518</v>
      </c>
      <c r="T74" s="2974">
        <v>519</v>
      </c>
      <c r="U74" s="2974">
        <v>520</v>
      </c>
      <c r="V74" s="2974">
        <v>521</v>
      </c>
      <c r="W74" s="2974">
        <v>522</v>
      </c>
      <c r="X74" s="2974">
        <v>523</v>
      </c>
      <c r="Y74" s="2974">
        <v>524</v>
      </c>
      <c r="Z74" s="2974">
        <v>525</v>
      </c>
      <c r="AA74" s="2974">
        <v>526</v>
      </c>
      <c r="AB74" s="2974">
        <v>527</v>
      </c>
      <c r="AC74" s="2974">
        <v>528</v>
      </c>
      <c r="AD74" s="2974">
        <v>529</v>
      </c>
      <c r="AE74" s="2974">
        <v>530</v>
      </c>
      <c r="AF74" s="2974">
        <v>531</v>
      </c>
      <c r="AG74" s="2974">
        <v>532</v>
      </c>
      <c r="AH74" s="2974">
        <v>533</v>
      </c>
      <c r="AI74" s="2974">
        <v>534</v>
      </c>
      <c r="AJ74" s="2974">
        <v>535</v>
      </c>
    </row>
    <row r="75" spans="1:36" ht="14.25">
      <c r="A75" s="3103" t="s">
        <v>3252</v>
      </c>
      <c r="B75" s="3103"/>
      <c r="C75" s="3103"/>
      <c r="D75" s="3103"/>
      <c r="E75" s="3103"/>
      <c r="F75" s="3103"/>
      <c r="G75" s="3103"/>
      <c r="H75" s="3103"/>
      <c r="I75" s="3103"/>
      <c r="J75" s="3103"/>
      <c r="K75" s="3103"/>
      <c r="L75" s="3103"/>
      <c r="M75" s="3103"/>
      <c r="N75" s="3103"/>
      <c r="O75" s="3103"/>
      <c r="P75" s="3103"/>
      <c r="Q75" s="3103"/>
      <c r="R75" s="3103"/>
      <c r="S75" s="3103"/>
      <c r="T75" s="3103"/>
      <c r="U75" s="3103"/>
      <c r="V75" s="3103"/>
      <c r="W75" s="3103"/>
      <c r="X75" s="3103"/>
      <c r="Y75" s="3103"/>
      <c r="Z75" s="3103"/>
      <c r="AA75" s="3103"/>
      <c r="AB75" s="3103"/>
      <c r="AC75" s="3103"/>
      <c r="AD75" s="3103"/>
      <c r="AE75" s="3103"/>
      <c r="AF75" s="3103"/>
      <c r="AG75" s="3103"/>
      <c r="AH75" s="3103"/>
      <c r="AI75" s="3103"/>
      <c r="AJ75" s="3103"/>
    </row>
    <row r="76" spans="1:36" ht="14.25">
      <c r="A76" s="2975" t="s">
        <v>3250</v>
      </c>
      <c r="B76" s="2975"/>
      <c r="C76" s="2975"/>
      <c r="D76" s="2975"/>
      <c r="E76" s="2976"/>
      <c r="F76" s="2976"/>
      <c r="G76" s="2976"/>
      <c r="H76" s="2976"/>
      <c r="I76" s="2976"/>
      <c r="J76" s="2976"/>
      <c r="K76" s="2976"/>
      <c r="L76" s="2976"/>
      <c r="M76" s="2976"/>
      <c r="N76" s="2976"/>
      <c r="O76" s="2976"/>
      <c r="P76" s="2976"/>
      <c r="Q76" s="2976"/>
      <c r="R76" s="2976"/>
      <c r="S76" s="2976"/>
      <c r="T76" s="2976"/>
      <c r="U76" s="2976"/>
      <c r="V76" s="2976"/>
      <c r="W76" s="2976"/>
      <c r="X76" s="2976"/>
      <c r="Y76" s="2976"/>
      <c r="Z76" s="2976"/>
      <c r="AA76" s="2976"/>
      <c r="AB76" s="2976"/>
      <c r="AC76" s="2976"/>
      <c r="AD76" s="2976"/>
      <c r="AE76" s="2976"/>
      <c r="AF76" s="2976"/>
      <c r="AG76" s="2976"/>
      <c r="AH76" s="2976"/>
      <c r="AI76" s="2976"/>
      <c r="AJ76" s="2976"/>
    </row>
    <row r="77" spans="1:36" ht="14.25">
      <c r="A77" s="3104">
        <v>43259</v>
      </c>
      <c r="B77" s="3105"/>
      <c r="C77" s="3105"/>
      <c r="D77" s="3105"/>
      <c r="E77" s="2976"/>
      <c r="F77" s="2976"/>
      <c r="G77" s="2976"/>
      <c r="H77" s="2976"/>
      <c r="I77" s="2976"/>
      <c r="J77" s="2976"/>
      <c r="K77" s="2976"/>
      <c r="L77" s="2976"/>
      <c r="M77" s="2976"/>
      <c r="N77" s="2976"/>
      <c r="O77" s="2976"/>
      <c r="P77" s="2976"/>
      <c r="Q77" s="2976"/>
      <c r="R77" s="2976"/>
      <c r="S77" s="2976"/>
      <c r="T77" s="2976"/>
      <c r="U77" s="2976"/>
      <c r="V77" s="2976"/>
      <c r="W77" s="2976"/>
      <c r="X77" s="2976"/>
      <c r="Y77" s="2976"/>
      <c r="Z77" s="2976"/>
      <c r="AA77" s="2976"/>
      <c r="AB77" s="2976"/>
      <c r="AC77" s="2976"/>
      <c r="AD77" s="2976"/>
      <c r="AE77" s="2976"/>
      <c r="AF77" s="2976"/>
      <c r="AG77" s="2976"/>
      <c r="AH77" s="2976"/>
      <c r="AI77" s="2976"/>
      <c r="AJ77" s="2976"/>
    </row>
    <row r="78" spans="1:36">
      <c r="B78" s="2977" t="s">
        <v>3254</v>
      </c>
      <c r="C78" s="2977" t="s">
        <v>3255</v>
      </c>
      <c r="D78" s="2977" t="s">
        <v>3256</v>
      </c>
    </row>
    <row r="79" spans="1:36">
      <c r="A79" s="2977" t="s">
        <v>3251</v>
      </c>
      <c r="B79">
        <v>25303.51</v>
      </c>
      <c r="C79">
        <v>19582.830000000002</v>
      </c>
      <c r="D79">
        <f>B79+C79</f>
        <v>44886.34</v>
      </c>
    </row>
    <row r="83" spans="1:6">
      <c r="A83" s="3022" t="s">
        <v>3380</v>
      </c>
      <c r="B83" s="3022" t="s">
        <v>3381</v>
      </c>
      <c r="C83" s="3022" t="s">
        <v>3387</v>
      </c>
      <c r="D83" s="3022" t="s">
        <v>3382</v>
      </c>
      <c r="E83" s="3022" t="s">
        <v>3383</v>
      </c>
      <c r="F83" s="3022" t="s">
        <v>3384</v>
      </c>
    </row>
    <row r="84" spans="1:6">
      <c r="A84" s="3022">
        <v>1</v>
      </c>
      <c r="B84" s="3022" t="s">
        <v>3386</v>
      </c>
      <c r="C84" s="3022" t="s">
        <v>3389</v>
      </c>
      <c r="D84" s="3022">
        <v>1601</v>
      </c>
      <c r="E84" s="3022">
        <v>43.56</v>
      </c>
      <c r="F84" s="3022" t="s">
        <v>3390</v>
      </c>
    </row>
    <row r="85" spans="1:6">
      <c r="A85" s="3022">
        <v>2</v>
      </c>
      <c r="B85" s="3022" t="s">
        <v>3386</v>
      </c>
      <c r="C85" s="3022" t="s">
        <v>3389</v>
      </c>
      <c r="D85" s="3022">
        <v>1602</v>
      </c>
      <c r="E85" s="3022">
        <v>47.97</v>
      </c>
      <c r="F85" s="3022" t="s">
        <v>3390</v>
      </c>
    </row>
    <row r="86" spans="1:6">
      <c r="A86" s="3022">
        <v>3</v>
      </c>
      <c r="B86" s="3022" t="s">
        <v>3386</v>
      </c>
      <c r="C86" s="3022" t="s">
        <v>3388</v>
      </c>
      <c r="D86" s="3022">
        <v>1603</v>
      </c>
      <c r="E86" s="3022">
        <v>47.97</v>
      </c>
      <c r="F86" s="3022" t="s">
        <v>3390</v>
      </c>
    </row>
    <row r="87" spans="1:6">
      <c r="A87" s="3022">
        <v>4</v>
      </c>
      <c r="B87" s="3022" t="s">
        <v>3386</v>
      </c>
      <c r="C87" s="3022" t="s">
        <v>3388</v>
      </c>
      <c r="D87" s="3022">
        <v>1604</v>
      </c>
      <c r="E87" s="3022">
        <v>47.97</v>
      </c>
      <c r="F87" s="3022" t="s">
        <v>3390</v>
      </c>
    </row>
    <row r="88" spans="1:6">
      <c r="A88" s="3022">
        <v>5</v>
      </c>
      <c r="B88" s="3022" t="s">
        <v>3386</v>
      </c>
      <c r="C88" s="3022" t="s">
        <v>3388</v>
      </c>
      <c r="D88" s="3022">
        <v>1605</v>
      </c>
      <c r="E88" s="3022">
        <v>47.97</v>
      </c>
      <c r="F88" s="3022" t="s">
        <v>3390</v>
      </c>
    </row>
    <row r="89" spans="1:6">
      <c r="A89" s="3022">
        <v>6</v>
      </c>
      <c r="B89" s="3022" t="s">
        <v>3386</v>
      </c>
      <c r="C89" s="3022" t="s">
        <v>3388</v>
      </c>
      <c r="D89" s="3022">
        <v>1606</v>
      </c>
      <c r="E89" s="3022">
        <v>47.97</v>
      </c>
      <c r="F89" s="3022" t="s">
        <v>3390</v>
      </c>
    </row>
    <row r="90" spans="1:6">
      <c r="A90" s="3022">
        <v>7</v>
      </c>
      <c r="B90" s="3022" t="s">
        <v>3386</v>
      </c>
      <c r="C90" s="3022" t="s">
        <v>3388</v>
      </c>
      <c r="D90" s="3022">
        <v>1607</v>
      </c>
      <c r="E90" s="3022">
        <v>47.97</v>
      </c>
      <c r="F90" s="3022" t="s">
        <v>3390</v>
      </c>
    </row>
    <row r="91" spans="1:6">
      <c r="A91" s="3022">
        <v>8</v>
      </c>
      <c r="B91" s="3022" t="s">
        <v>3386</v>
      </c>
      <c r="C91" s="3022" t="s">
        <v>3388</v>
      </c>
      <c r="D91" s="3022">
        <v>1608</v>
      </c>
      <c r="E91" s="3022">
        <v>47.97</v>
      </c>
      <c r="F91" s="3022" t="s">
        <v>3390</v>
      </c>
    </row>
    <row r="92" spans="1:6">
      <c r="A92" s="3022">
        <v>9</v>
      </c>
      <c r="B92" s="3022" t="s">
        <v>3386</v>
      </c>
      <c r="C92" s="3022" t="s">
        <v>3388</v>
      </c>
      <c r="D92" s="3022">
        <v>1609</v>
      </c>
      <c r="E92" s="3022">
        <v>47.97</v>
      </c>
      <c r="F92" s="3022" t="s">
        <v>3390</v>
      </c>
    </row>
    <row r="93" spans="1:6">
      <c r="A93" s="3022">
        <v>10</v>
      </c>
      <c r="B93" s="3022" t="s">
        <v>3386</v>
      </c>
      <c r="C93" s="3022" t="s">
        <v>3388</v>
      </c>
      <c r="D93" s="3022">
        <v>1610</v>
      </c>
      <c r="E93" s="3022">
        <v>47.97</v>
      </c>
      <c r="F93" s="3022" t="s">
        <v>3390</v>
      </c>
    </row>
    <row r="94" spans="1:6">
      <c r="A94" s="3022">
        <v>11</v>
      </c>
      <c r="B94" s="3022" t="s">
        <v>3386</v>
      </c>
      <c r="C94" s="3022" t="s">
        <v>3388</v>
      </c>
      <c r="D94" s="3022">
        <v>1611</v>
      </c>
      <c r="E94" s="3022">
        <v>47.97</v>
      </c>
      <c r="F94" s="3022" t="s">
        <v>3390</v>
      </c>
    </row>
    <row r="95" spans="1:6">
      <c r="A95" s="3022">
        <v>12</v>
      </c>
      <c r="B95" s="3022" t="s">
        <v>3386</v>
      </c>
      <c r="C95" s="3022" t="s">
        <v>3388</v>
      </c>
      <c r="D95" s="3022">
        <v>1612</v>
      </c>
      <c r="E95" s="3022">
        <v>47.97</v>
      </c>
      <c r="F95" s="3022" t="s">
        <v>3390</v>
      </c>
    </row>
    <row r="96" spans="1:6">
      <c r="A96" s="3022">
        <v>13</v>
      </c>
      <c r="B96" s="3022" t="s">
        <v>3386</v>
      </c>
      <c r="C96" s="3022" t="s">
        <v>3388</v>
      </c>
      <c r="D96" s="3022">
        <v>1613</v>
      </c>
      <c r="E96" s="3022">
        <v>47.97</v>
      </c>
      <c r="F96" s="3022" t="s">
        <v>3390</v>
      </c>
    </row>
    <row r="97" spans="1:6">
      <c r="A97" s="3022">
        <v>14</v>
      </c>
      <c r="B97" s="3022" t="s">
        <v>3386</v>
      </c>
      <c r="C97" s="3022" t="s">
        <v>3388</v>
      </c>
      <c r="D97" s="3022">
        <v>1614</v>
      </c>
      <c r="E97" s="3022">
        <v>47.97</v>
      </c>
      <c r="F97" s="3022" t="s">
        <v>3390</v>
      </c>
    </row>
    <row r="98" spans="1:6">
      <c r="A98" s="3022">
        <v>15</v>
      </c>
      <c r="B98" s="3022" t="s">
        <v>3386</v>
      </c>
      <c r="C98" s="3022" t="s">
        <v>3388</v>
      </c>
      <c r="D98" s="3022">
        <v>1615</v>
      </c>
      <c r="E98" s="3022">
        <v>47.97</v>
      </c>
      <c r="F98" s="3022" t="s">
        <v>3390</v>
      </c>
    </row>
    <row r="99" spans="1:6">
      <c r="A99" s="3022">
        <v>16</v>
      </c>
      <c r="B99" s="3022" t="s">
        <v>3386</v>
      </c>
      <c r="C99" s="3022" t="s">
        <v>3388</v>
      </c>
      <c r="D99" s="3022">
        <v>1616</v>
      </c>
      <c r="E99" s="3022">
        <v>39.54</v>
      </c>
      <c r="F99" s="3022" t="s">
        <v>3390</v>
      </c>
    </row>
    <row r="100" spans="1:6">
      <c r="A100" s="3022">
        <v>17</v>
      </c>
      <c r="B100" s="3022" t="s">
        <v>3386</v>
      </c>
      <c r="C100" s="3022" t="s">
        <v>3388</v>
      </c>
      <c r="D100" s="3022">
        <v>1617</v>
      </c>
      <c r="E100" s="3022">
        <v>56.7</v>
      </c>
      <c r="F100" s="3022" t="s">
        <v>3390</v>
      </c>
    </row>
    <row r="101" spans="1:6">
      <c r="A101" s="3022">
        <v>18</v>
      </c>
      <c r="B101" s="3022" t="s">
        <v>3386</v>
      </c>
      <c r="C101" s="3022" t="s">
        <v>3388</v>
      </c>
      <c r="D101" s="3022">
        <v>1618</v>
      </c>
      <c r="E101" s="3022">
        <v>54.08</v>
      </c>
      <c r="F101" s="3022" t="s">
        <v>3390</v>
      </c>
    </row>
    <row r="102" spans="1:6">
      <c r="A102" s="3022">
        <v>19</v>
      </c>
      <c r="B102" s="3022" t="s">
        <v>3386</v>
      </c>
      <c r="C102" s="3022" t="s">
        <v>3388</v>
      </c>
      <c r="D102" s="3022">
        <v>1619</v>
      </c>
      <c r="E102" s="3022">
        <v>54.08</v>
      </c>
      <c r="F102" s="3022" t="s">
        <v>3390</v>
      </c>
    </row>
    <row r="103" spans="1:6">
      <c r="A103" s="3022">
        <v>20</v>
      </c>
      <c r="B103" s="3022" t="s">
        <v>3386</v>
      </c>
      <c r="C103" s="3022" t="s">
        <v>3388</v>
      </c>
      <c r="D103" s="3022">
        <v>1701</v>
      </c>
      <c r="E103" s="3022">
        <v>43.56</v>
      </c>
      <c r="F103" s="3022" t="s">
        <v>3390</v>
      </c>
    </row>
    <row r="104" spans="1:6">
      <c r="A104" s="3022">
        <v>21</v>
      </c>
      <c r="B104" s="3022" t="s">
        <v>3386</v>
      </c>
      <c r="C104" s="3022" t="s">
        <v>3388</v>
      </c>
      <c r="D104" s="3022">
        <v>1702</v>
      </c>
      <c r="E104" s="3022">
        <v>47.97</v>
      </c>
      <c r="F104" s="3022" t="s">
        <v>3390</v>
      </c>
    </row>
    <row r="105" spans="1:6">
      <c r="A105" s="3022">
        <v>22</v>
      </c>
      <c r="B105" s="3022" t="s">
        <v>3386</v>
      </c>
      <c r="C105" s="3022" t="s">
        <v>3388</v>
      </c>
      <c r="D105" s="3022">
        <v>1703</v>
      </c>
      <c r="E105" s="3022">
        <v>47.97</v>
      </c>
      <c r="F105" s="3022" t="s">
        <v>3390</v>
      </c>
    </row>
    <row r="106" spans="1:6">
      <c r="A106" s="3022">
        <v>23</v>
      </c>
      <c r="B106" s="3022" t="s">
        <v>3386</v>
      </c>
      <c r="C106" s="3022" t="s">
        <v>3388</v>
      </c>
      <c r="D106" s="3022">
        <v>1704</v>
      </c>
      <c r="E106" s="3022">
        <v>47.97</v>
      </c>
      <c r="F106" s="3022" t="s">
        <v>3390</v>
      </c>
    </row>
    <row r="107" spans="1:6">
      <c r="A107" s="3022">
        <v>24</v>
      </c>
      <c r="B107" s="3022" t="s">
        <v>3386</v>
      </c>
      <c r="C107" s="3022" t="s">
        <v>3388</v>
      </c>
      <c r="D107" s="3022">
        <v>1705</v>
      </c>
      <c r="E107" s="3022">
        <v>47.97</v>
      </c>
      <c r="F107" s="3022" t="s">
        <v>3390</v>
      </c>
    </row>
    <row r="108" spans="1:6">
      <c r="A108" s="3022">
        <v>25</v>
      </c>
      <c r="B108" s="3022" t="s">
        <v>3386</v>
      </c>
      <c r="C108" s="3022" t="s">
        <v>3388</v>
      </c>
      <c r="D108" s="3022">
        <v>1706</v>
      </c>
      <c r="E108" s="3022">
        <v>47.97</v>
      </c>
      <c r="F108" s="3022" t="s">
        <v>3390</v>
      </c>
    </row>
    <row r="109" spans="1:6">
      <c r="A109" s="3022">
        <v>26</v>
      </c>
      <c r="B109" s="3022" t="s">
        <v>3386</v>
      </c>
      <c r="C109" s="3022" t="s">
        <v>3388</v>
      </c>
      <c r="D109" s="3022">
        <v>1707</v>
      </c>
      <c r="E109" s="3022">
        <v>47.97</v>
      </c>
      <c r="F109" s="3022" t="s">
        <v>3390</v>
      </c>
    </row>
    <row r="110" spans="1:6">
      <c r="A110" s="3022">
        <v>27</v>
      </c>
      <c r="B110" s="3022" t="s">
        <v>3386</v>
      </c>
      <c r="C110" s="3022" t="s">
        <v>3388</v>
      </c>
      <c r="D110" s="3022">
        <v>1708</v>
      </c>
      <c r="E110" s="3022">
        <v>47.97</v>
      </c>
      <c r="F110" s="3022" t="s">
        <v>3390</v>
      </c>
    </row>
    <row r="111" spans="1:6">
      <c r="A111" s="3022">
        <v>28</v>
      </c>
      <c r="B111" s="3022" t="s">
        <v>3386</v>
      </c>
      <c r="C111" s="3022" t="s">
        <v>3388</v>
      </c>
      <c r="D111" s="3022">
        <v>1709</v>
      </c>
      <c r="E111" s="3022">
        <v>47.97</v>
      </c>
      <c r="F111" s="3022" t="s">
        <v>3390</v>
      </c>
    </row>
    <row r="112" spans="1:6">
      <c r="A112" s="3022">
        <v>29</v>
      </c>
      <c r="B112" s="3022" t="s">
        <v>3386</v>
      </c>
      <c r="C112" s="3022" t="s">
        <v>3388</v>
      </c>
      <c r="D112" s="3022">
        <v>1710</v>
      </c>
      <c r="E112" s="3022">
        <v>47.97</v>
      </c>
      <c r="F112" s="3022" t="s">
        <v>3390</v>
      </c>
    </row>
    <row r="113" spans="1:6">
      <c r="A113" s="3022">
        <v>30</v>
      </c>
      <c r="B113" s="3022" t="s">
        <v>3386</v>
      </c>
      <c r="C113" s="3022" t="s">
        <v>3388</v>
      </c>
      <c r="D113" s="3022">
        <v>1711</v>
      </c>
      <c r="E113" s="3022">
        <v>47.97</v>
      </c>
      <c r="F113" s="3022" t="s">
        <v>3390</v>
      </c>
    </row>
    <row r="114" spans="1:6">
      <c r="A114" s="3022">
        <v>31</v>
      </c>
      <c r="B114" s="3022" t="s">
        <v>3386</v>
      </c>
      <c r="C114" s="3022" t="s">
        <v>3388</v>
      </c>
      <c r="D114" s="3022">
        <v>1712</v>
      </c>
      <c r="E114" s="3022">
        <v>47.97</v>
      </c>
      <c r="F114" s="3022" t="s">
        <v>3390</v>
      </c>
    </row>
    <row r="115" spans="1:6">
      <c r="A115" s="3022">
        <v>32</v>
      </c>
      <c r="B115" s="3022" t="s">
        <v>3386</v>
      </c>
      <c r="C115" s="3022" t="s">
        <v>3388</v>
      </c>
      <c r="D115" s="3022">
        <v>1713</v>
      </c>
      <c r="E115" s="3022">
        <v>47.97</v>
      </c>
      <c r="F115" s="3022" t="s">
        <v>3390</v>
      </c>
    </row>
    <row r="116" spans="1:6">
      <c r="A116" s="3022">
        <v>33</v>
      </c>
      <c r="B116" s="3022" t="s">
        <v>3386</v>
      </c>
      <c r="C116" s="3022" t="s">
        <v>3388</v>
      </c>
      <c r="D116" s="3022">
        <v>1714</v>
      </c>
      <c r="E116" s="3022">
        <v>47.97</v>
      </c>
      <c r="F116" s="3022" t="s">
        <v>3390</v>
      </c>
    </row>
    <row r="117" spans="1:6">
      <c r="A117" s="3022">
        <v>34</v>
      </c>
      <c r="B117" s="3022" t="s">
        <v>3386</v>
      </c>
      <c r="C117" s="3022" t="s">
        <v>3388</v>
      </c>
      <c r="D117" s="3022">
        <v>1715</v>
      </c>
      <c r="E117" s="3022">
        <v>47.97</v>
      </c>
      <c r="F117" s="3022" t="s">
        <v>3390</v>
      </c>
    </row>
    <row r="118" spans="1:6">
      <c r="A118" s="3022">
        <v>35</v>
      </c>
      <c r="B118" s="3022" t="s">
        <v>3386</v>
      </c>
      <c r="C118" s="3022" t="s">
        <v>3388</v>
      </c>
      <c r="D118" s="3022">
        <v>1716</v>
      </c>
      <c r="E118" s="3022">
        <v>39.54</v>
      </c>
      <c r="F118" s="3022" t="s">
        <v>3390</v>
      </c>
    </row>
    <row r="119" spans="1:6">
      <c r="A119" s="3022">
        <v>36</v>
      </c>
      <c r="B119" s="3022" t="s">
        <v>3386</v>
      </c>
      <c r="C119" s="3022" t="s">
        <v>3388</v>
      </c>
      <c r="D119" s="3022">
        <v>1717</v>
      </c>
      <c r="E119" s="3022">
        <v>56.7</v>
      </c>
      <c r="F119" s="3022" t="s">
        <v>3390</v>
      </c>
    </row>
    <row r="120" spans="1:6">
      <c r="A120" s="3022">
        <v>37</v>
      </c>
      <c r="B120" s="3022" t="s">
        <v>3386</v>
      </c>
      <c r="C120" s="3022" t="s">
        <v>3388</v>
      </c>
      <c r="D120" s="3022">
        <v>1718</v>
      </c>
      <c r="E120" s="3022">
        <v>54.08</v>
      </c>
      <c r="F120" s="3022" t="s">
        <v>3390</v>
      </c>
    </row>
    <row r="121" spans="1:6">
      <c r="A121" s="3022">
        <v>38</v>
      </c>
      <c r="B121" s="3022" t="s">
        <v>3386</v>
      </c>
      <c r="C121" s="3022" t="s">
        <v>3388</v>
      </c>
      <c r="D121" s="3022">
        <v>1719</v>
      </c>
      <c r="E121" s="3022">
        <v>54.08</v>
      </c>
      <c r="F121" s="3022" t="s">
        <v>3390</v>
      </c>
    </row>
    <row r="122" spans="1:6">
      <c r="A122" s="3022">
        <v>39</v>
      </c>
      <c r="B122" s="3022" t="s">
        <v>3386</v>
      </c>
      <c r="C122" s="3022" t="s">
        <v>3388</v>
      </c>
      <c r="D122" s="3022">
        <v>1720</v>
      </c>
      <c r="E122" s="3022">
        <v>54.08</v>
      </c>
      <c r="F122" s="3022" t="s">
        <v>3390</v>
      </c>
    </row>
    <row r="123" spans="1:6">
      <c r="A123" s="3022">
        <v>40</v>
      </c>
      <c r="B123" s="3022" t="s">
        <v>3386</v>
      </c>
      <c r="C123" s="3022" t="s">
        <v>3388</v>
      </c>
      <c r="D123" s="3022">
        <v>1721</v>
      </c>
      <c r="E123" s="3022">
        <v>54.08</v>
      </c>
      <c r="F123" s="3022" t="s">
        <v>3390</v>
      </c>
    </row>
    <row r="124" spans="1:6">
      <c r="A124" s="3022">
        <v>41</v>
      </c>
      <c r="B124" s="3022" t="s">
        <v>3386</v>
      </c>
      <c r="C124" s="3022" t="s">
        <v>3388</v>
      </c>
      <c r="D124" s="3022">
        <v>1722</v>
      </c>
      <c r="E124" s="3022">
        <v>54.08</v>
      </c>
      <c r="F124" s="3022" t="s">
        <v>3390</v>
      </c>
    </row>
    <row r="125" spans="1:6">
      <c r="A125" s="3022">
        <v>42</v>
      </c>
      <c r="B125" s="3022" t="s">
        <v>3386</v>
      </c>
      <c r="C125" s="3022" t="s">
        <v>3388</v>
      </c>
      <c r="D125" s="3022">
        <v>1723</v>
      </c>
      <c r="E125" s="3022">
        <v>58.14</v>
      </c>
      <c r="F125" s="3022" t="s">
        <v>3390</v>
      </c>
    </row>
    <row r="126" spans="1:6">
      <c r="A126" s="3022">
        <v>43</v>
      </c>
      <c r="B126" s="3022" t="s">
        <v>3386</v>
      </c>
      <c r="C126" s="3022" t="s">
        <v>3388</v>
      </c>
      <c r="D126" s="3022">
        <v>1724</v>
      </c>
      <c r="E126" s="3022">
        <v>55.63</v>
      </c>
      <c r="F126" s="3022" t="s">
        <v>3390</v>
      </c>
    </row>
    <row r="127" spans="1:6">
      <c r="A127" s="3022">
        <v>44</v>
      </c>
      <c r="B127" s="3022" t="s">
        <v>3386</v>
      </c>
      <c r="C127" s="3022" t="s">
        <v>3388</v>
      </c>
      <c r="D127" s="3022">
        <v>1725</v>
      </c>
      <c r="E127" s="3022">
        <v>48.54</v>
      </c>
      <c r="F127" s="3022" t="s">
        <v>3390</v>
      </c>
    </row>
    <row r="128" spans="1:6">
      <c r="A128" s="3022">
        <v>45</v>
      </c>
      <c r="B128" s="3022" t="s">
        <v>3386</v>
      </c>
      <c r="C128" s="3022" t="s">
        <v>3388</v>
      </c>
      <c r="D128" s="3022">
        <v>1726</v>
      </c>
      <c r="E128" s="3022">
        <v>48.64</v>
      </c>
      <c r="F128" s="3022" t="s">
        <v>3390</v>
      </c>
    </row>
    <row r="129" spans="1:6">
      <c r="A129" s="3022">
        <v>46</v>
      </c>
      <c r="B129" s="3022" t="s">
        <v>3386</v>
      </c>
      <c r="C129" s="3022" t="s">
        <v>3388</v>
      </c>
      <c r="D129" s="3022">
        <v>1727</v>
      </c>
      <c r="E129" s="3022">
        <v>55.71</v>
      </c>
      <c r="F129" s="3022" t="s">
        <v>3390</v>
      </c>
    </row>
    <row r="130" spans="1:6">
      <c r="A130" s="3022">
        <v>47</v>
      </c>
      <c r="B130" s="3022" t="s">
        <v>3386</v>
      </c>
      <c r="C130" s="3022" t="s">
        <v>3388</v>
      </c>
      <c r="D130" s="3022">
        <v>1728</v>
      </c>
      <c r="E130" s="3022">
        <v>330.9</v>
      </c>
      <c r="F130" s="3022" t="s">
        <v>3390</v>
      </c>
    </row>
    <row r="131" spans="1:6">
      <c r="A131" s="3022">
        <v>48</v>
      </c>
      <c r="B131" s="3022" t="s">
        <v>3386</v>
      </c>
      <c r="C131" s="3022" t="s">
        <v>3388</v>
      </c>
      <c r="D131" s="3022">
        <v>1729</v>
      </c>
      <c r="E131" s="3022">
        <v>255.71</v>
      </c>
      <c r="F131" s="3022" t="s">
        <v>3390</v>
      </c>
    </row>
    <row r="132" spans="1:6">
      <c r="A132" s="3022">
        <v>49</v>
      </c>
      <c r="B132" s="3022" t="s">
        <v>3386</v>
      </c>
      <c r="C132" s="3022" t="s">
        <v>3388</v>
      </c>
      <c r="D132" s="3022">
        <v>1730</v>
      </c>
      <c r="E132" s="3022">
        <v>172.61</v>
      </c>
      <c r="F132" s="3022" t="s">
        <v>3390</v>
      </c>
    </row>
    <row r="133" spans="1:6">
      <c r="A133" s="3022">
        <v>50</v>
      </c>
      <c r="B133" s="3022" t="s">
        <v>3386</v>
      </c>
      <c r="C133" s="3022" t="s">
        <v>3388</v>
      </c>
      <c r="D133" s="3022">
        <v>1731</v>
      </c>
      <c r="E133" s="3022">
        <v>127.81</v>
      </c>
      <c r="F133" s="3022" t="s">
        <v>3390</v>
      </c>
    </row>
    <row r="134" spans="1:6">
      <c r="A134" s="3022">
        <v>51</v>
      </c>
      <c r="B134" s="3022" t="s">
        <v>3386</v>
      </c>
      <c r="C134" s="3022" t="s">
        <v>3388</v>
      </c>
      <c r="D134" s="3022">
        <v>1732</v>
      </c>
      <c r="E134" s="3022">
        <v>245.4</v>
      </c>
      <c r="F134" s="3022" t="s">
        <v>3390</v>
      </c>
    </row>
    <row r="135" spans="1:6">
      <c r="A135" s="3022">
        <v>52</v>
      </c>
      <c r="B135" s="3022" t="s">
        <v>3386</v>
      </c>
      <c r="C135" s="3022" t="s">
        <v>3388</v>
      </c>
      <c r="D135" s="3022">
        <v>1733</v>
      </c>
      <c r="E135" s="3022">
        <v>115.82</v>
      </c>
      <c r="F135" s="3022" t="s">
        <v>3390</v>
      </c>
    </row>
    <row r="136" spans="1:6">
      <c r="A136" s="3022">
        <v>53</v>
      </c>
      <c r="B136" s="3022" t="s">
        <v>3386</v>
      </c>
      <c r="C136" s="3022" t="s">
        <v>3388</v>
      </c>
      <c r="D136" s="3022">
        <v>1734</v>
      </c>
      <c r="E136" s="3022">
        <v>112.64</v>
      </c>
      <c r="F136" s="3022" t="s">
        <v>3390</v>
      </c>
    </row>
    <row r="137" spans="1:6">
      <c r="A137" s="3022">
        <v>54</v>
      </c>
      <c r="B137" s="3022" t="s">
        <v>3386</v>
      </c>
      <c r="C137" s="3022" t="s">
        <v>3388</v>
      </c>
      <c r="D137" s="3022">
        <v>1801</v>
      </c>
      <c r="E137" s="3022">
        <v>43.56</v>
      </c>
      <c r="F137" s="3022" t="s">
        <v>3390</v>
      </c>
    </row>
    <row r="138" spans="1:6">
      <c r="A138" s="3022">
        <v>55</v>
      </c>
      <c r="B138" s="3022" t="s">
        <v>3386</v>
      </c>
      <c r="C138" s="3022" t="s">
        <v>3388</v>
      </c>
      <c r="D138" s="3022">
        <v>1802</v>
      </c>
      <c r="E138" s="3022">
        <v>47.97</v>
      </c>
      <c r="F138" s="3022" t="s">
        <v>3390</v>
      </c>
    </row>
    <row r="139" spans="1:6">
      <c r="A139" s="3022">
        <v>56</v>
      </c>
      <c r="B139" s="3022" t="s">
        <v>3386</v>
      </c>
      <c r="C139" s="3022" t="s">
        <v>3388</v>
      </c>
      <c r="D139" s="3022">
        <v>1803</v>
      </c>
      <c r="E139" s="3022">
        <v>47.97</v>
      </c>
      <c r="F139" s="3022" t="s">
        <v>3390</v>
      </c>
    </row>
    <row r="140" spans="1:6">
      <c r="A140" s="3022">
        <v>57</v>
      </c>
      <c r="B140" s="3022" t="s">
        <v>3386</v>
      </c>
      <c r="C140" s="3022" t="s">
        <v>3388</v>
      </c>
      <c r="D140" s="3022">
        <v>1804</v>
      </c>
      <c r="E140" s="3022">
        <v>47.97</v>
      </c>
      <c r="F140" s="3022" t="s">
        <v>3390</v>
      </c>
    </row>
    <row r="141" spans="1:6">
      <c r="A141" s="3022">
        <v>58</v>
      </c>
      <c r="B141" s="3022" t="s">
        <v>3386</v>
      </c>
      <c r="C141" s="3022" t="s">
        <v>3388</v>
      </c>
      <c r="D141" s="3022">
        <v>1805</v>
      </c>
      <c r="E141" s="3022">
        <v>47.97</v>
      </c>
      <c r="F141" s="3022" t="s">
        <v>3390</v>
      </c>
    </row>
    <row r="142" spans="1:6">
      <c r="A142" s="3022">
        <v>59</v>
      </c>
      <c r="B142" s="3022" t="s">
        <v>3386</v>
      </c>
      <c r="C142" s="3022" t="s">
        <v>3388</v>
      </c>
      <c r="D142" s="3022">
        <v>1806</v>
      </c>
      <c r="E142" s="3022">
        <v>47.97</v>
      </c>
      <c r="F142" s="3022" t="s">
        <v>3390</v>
      </c>
    </row>
    <row r="143" spans="1:6">
      <c r="A143" s="3022">
        <v>60</v>
      </c>
      <c r="B143" s="3022" t="s">
        <v>3386</v>
      </c>
      <c r="C143" s="3022" t="s">
        <v>3388</v>
      </c>
      <c r="D143" s="3022">
        <v>1807</v>
      </c>
      <c r="E143" s="3022">
        <v>47.97</v>
      </c>
      <c r="F143" s="3022" t="s">
        <v>3390</v>
      </c>
    </row>
    <row r="144" spans="1:6">
      <c r="A144" s="3022">
        <v>61</v>
      </c>
      <c r="B144" s="3022" t="s">
        <v>3386</v>
      </c>
      <c r="C144" s="3022" t="s">
        <v>3388</v>
      </c>
      <c r="D144" s="3022">
        <v>1808</v>
      </c>
      <c r="E144" s="3022">
        <v>47.97</v>
      </c>
      <c r="F144" s="3022" t="s">
        <v>3390</v>
      </c>
    </row>
    <row r="145" spans="1:6">
      <c r="A145" s="3022">
        <v>62</v>
      </c>
      <c r="B145" s="3022" t="s">
        <v>3386</v>
      </c>
      <c r="C145" s="3022" t="s">
        <v>3388</v>
      </c>
      <c r="D145" s="3022">
        <v>1809</v>
      </c>
      <c r="E145" s="3022">
        <v>47.97</v>
      </c>
      <c r="F145" s="3022" t="s">
        <v>3390</v>
      </c>
    </row>
    <row r="146" spans="1:6">
      <c r="A146" s="3022">
        <v>63</v>
      </c>
      <c r="B146" s="3022" t="s">
        <v>3386</v>
      </c>
      <c r="C146" s="3022" t="s">
        <v>3388</v>
      </c>
      <c r="D146" s="3022">
        <v>1810</v>
      </c>
      <c r="E146" s="3022">
        <v>47.97</v>
      </c>
      <c r="F146" s="3022" t="s">
        <v>3390</v>
      </c>
    </row>
    <row r="147" spans="1:6">
      <c r="A147" s="3022">
        <v>64</v>
      </c>
      <c r="B147" s="3022" t="s">
        <v>3386</v>
      </c>
      <c r="C147" s="3022" t="s">
        <v>3388</v>
      </c>
      <c r="D147" s="3022">
        <v>1811</v>
      </c>
      <c r="E147" s="3022">
        <v>47.97</v>
      </c>
      <c r="F147" s="3022" t="s">
        <v>3390</v>
      </c>
    </row>
    <row r="148" spans="1:6">
      <c r="A148" s="3022">
        <v>65</v>
      </c>
      <c r="B148" s="3022" t="s">
        <v>3386</v>
      </c>
      <c r="C148" s="3022" t="s">
        <v>3388</v>
      </c>
      <c r="D148" s="3022">
        <v>1812</v>
      </c>
      <c r="E148" s="3022">
        <v>47.97</v>
      </c>
      <c r="F148" s="3022" t="s">
        <v>3390</v>
      </c>
    </row>
    <row r="149" spans="1:6">
      <c r="A149" s="3022">
        <v>66</v>
      </c>
      <c r="B149" s="3022" t="s">
        <v>3386</v>
      </c>
      <c r="C149" s="3022" t="s">
        <v>3388</v>
      </c>
      <c r="D149" s="3022">
        <v>1813</v>
      </c>
      <c r="E149" s="3022">
        <v>47.97</v>
      </c>
      <c r="F149" s="3022" t="s">
        <v>3390</v>
      </c>
    </row>
    <row r="150" spans="1:6">
      <c r="A150" s="3022">
        <v>67</v>
      </c>
      <c r="B150" s="3022" t="s">
        <v>3386</v>
      </c>
      <c r="C150" s="3022" t="s">
        <v>3388</v>
      </c>
      <c r="D150" s="3022">
        <v>1814</v>
      </c>
      <c r="E150" s="3022">
        <v>47.97</v>
      </c>
      <c r="F150" s="3022" t="s">
        <v>3390</v>
      </c>
    </row>
    <row r="151" spans="1:6">
      <c r="A151" s="3022">
        <v>68</v>
      </c>
      <c r="B151" s="3022" t="s">
        <v>3386</v>
      </c>
      <c r="C151" s="3022" t="s">
        <v>3388</v>
      </c>
      <c r="D151" s="3022">
        <v>1815</v>
      </c>
      <c r="E151" s="3022">
        <v>47.97</v>
      </c>
      <c r="F151" s="3022" t="s">
        <v>3390</v>
      </c>
    </row>
    <row r="152" spans="1:6">
      <c r="A152" s="3022">
        <v>69</v>
      </c>
      <c r="B152" s="3022" t="s">
        <v>3386</v>
      </c>
      <c r="C152" s="3022" t="s">
        <v>3388</v>
      </c>
      <c r="D152" s="3022">
        <v>1816</v>
      </c>
      <c r="E152" s="3022">
        <v>39.54</v>
      </c>
      <c r="F152" s="3022" t="s">
        <v>3390</v>
      </c>
    </row>
    <row r="153" spans="1:6">
      <c r="A153" s="3022">
        <v>70</v>
      </c>
      <c r="B153" s="3022" t="s">
        <v>3386</v>
      </c>
      <c r="C153" s="3022" t="s">
        <v>3388</v>
      </c>
      <c r="D153" s="3022">
        <v>1817</v>
      </c>
      <c r="E153" s="3022">
        <v>56.7</v>
      </c>
      <c r="F153" s="3022" t="s">
        <v>3390</v>
      </c>
    </row>
    <row r="154" spans="1:6">
      <c r="A154" s="3022">
        <v>71</v>
      </c>
      <c r="B154" s="3022" t="s">
        <v>3386</v>
      </c>
      <c r="C154" s="3022" t="s">
        <v>3388</v>
      </c>
      <c r="D154" s="3022">
        <v>1818</v>
      </c>
      <c r="E154" s="3022">
        <v>54.08</v>
      </c>
      <c r="F154" s="3022" t="s">
        <v>3390</v>
      </c>
    </row>
    <row r="155" spans="1:6">
      <c r="A155" s="3022">
        <v>72</v>
      </c>
      <c r="B155" s="3022" t="s">
        <v>3386</v>
      </c>
      <c r="C155" s="3022" t="s">
        <v>3388</v>
      </c>
      <c r="D155" s="3022">
        <v>1819</v>
      </c>
      <c r="E155" s="3022">
        <v>54.08</v>
      </c>
      <c r="F155" s="3022" t="s">
        <v>3390</v>
      </c>
    </row>
    <row r="156" spans="1:6">
      <c r="A156" s="3022">
        <v>73</v>
      </c>
      <c r="B156" s="3022" t="s">
        <v>3386</v>
      </c>
      <c r="C156" s="3022" t="s">
        <v>3388</v>
      </c>
      <c r="D156" s="3022">
        <v>1820</v>
      </c>
      <c r="E156" s="3022">
        <v>54.08</v>
      </c>
      <c r="F156" s="3022" t="s">
        <v>3390</v>
      </c>
    </row>
    <row r="157" spans="1:6">
      <c r="A157" s="3022">
        <v>74</v>
      </c>
      <c r="B157" s="3022" t="s">
        <v>3386</v>
      </c>
      <c r="C157" s="3022" t="s">
        <v>3388</v>
      </c>
      <c r="D157" s="3022">
        <v>1821</v>
      </c>
      <c r="E157" s="3022">
        <v>54.08</v>
      </c>
      <c r="F157" s="3022" t="s">
        <v>3390</v>
      </c>
    </row>
    <row r="158" spans="1:6">
      <c r="A158" s="3022">
        <v>75</v>
      </c>
      <c r="B158" s="3022" t="s">
        <v>3386</v>
      </c>
      <c r="C158" s="3022" t="s">
        <v>3388</v>
      </c>
      <c r="D158" s="3022">
        <v>1822</v>
      </c>
      <c r="E158" s="3022">
        <v>54.08</v>
      </c>
      <c r="F158" s="3022" t="s">
        <v>3390</v>
      </c>
    </row>
    <row r="159" spans="1:6">
      <c r="A159" s="3022">
        <v>76</v>
      </c>
      <c r="B159" s="3022" t="s">
        <v>3386</v>
      </c>
      <c r="C159" s="3022" t="s">
        <v>3388</v>
      </c>
      <c r="D159" s="3022">
        <v>1823</v>
      </c>
      <c r="E159" s="3022">
        <v>58.14</v>
      </c>
      <c r="F159" s="3022" t="s">
        <v>3390</v>
      </c>
    </row>
    <row r="160" spans="1:6">
      <c r="A160" s="3022">
        <v>77</v>
      </c>
      <c r="B160" s="3022" t="s">
        <v>3386</v>
      </c>
      <c r="C160" s="3022" t="s">
        <v>3388</v>
      </c>
      <c r="D160" s="3022">
        <v>1824</v>
      </c>
      <c r="E160" s="3022">
        <v>55.63</v>
      </c>
      <c r="F160" s="3022" t="s">
        <v>3390</v>
      </c>
    </row>
    <row r="161" spans="1:6">
      <c r="A161" s="3022">
        <v>78</v>
      </c>
      <c r="B161" s="3022" t="s">
        <v>3386</v>
      </c>
      <c r="C161" s="3022" t="s">
        <v>3388</v>
      </c>
      <c r="D161" s="3022">
        <v>1825</v>
      </c>
      <c r="E161" s="3022">
        <v>48.54</v>
      </c>
      <c r="F161" s="3022" t="s">
        <v>3390</v>
      </c>
    </row>
    <row r="162" spans="1:6">
      <c r="A162" s="3022">
        <v>79</v>
      </c>
      <c r="B162" s="3022" t="s">
        <v>3386</v>
      </c>
      <c r="C162" s="3022" t="s">
        <v>3388</v>
      </c>
      <c r="D162" s="3022">
        <v>1826</v>
      </c>
      <c r="E162" s="3022">
        <v>48.64</v>
      </c>
      <c r="F162" s="3022" t="s">
        <v>3390</v>
      </c>
    </row>
    <row r="163" spans="1:6">
      <c r="A163" s="3022">
        <v>80</v>
      </c>
      <c r="B163" s="3022" t="s">
        <v>3386</v>
      </c>
      <c r="C163" s="3022" t="s">
        <v>3388</v>
      </c>
      <c r="D163" s="3022">
        <v>1827</v>
      </c>
      <c r="E163" s="3022">
        <v>55.71</v>
      </c>
      <c r="F163" s="3022" t="s">
        <v>3390</v>
      </c>
    </row>
    <row r="164" spans="1:6">
      <c r="A164" s="3022">
        <v>81</v>
      </c>
      <c r="B164" s="3022" t="s">
        <v>3386</v>
      </c>
      <c r="C164" s="3022" t="s">
        <v>3388</v>
      </c>
      <c r="D164" s="3022">
        <v>1828</v>
      </c>
      <c r="E164" s="3022">
        <v>330.9</v>
      </c>
      <c r="F164" s="3022" t="s">
        <v>3390</v>
      </c>
    </row>
    <row r="165" spans="1:6">
      <c r="A165" s="3022">
        <v>82</v>
      </c>
      <c r="B165" s="3022" t="s">
        <v>3386</v>
      </c>
      <c r="C165" s="3022" t="s">
        <v>3388</v>
      </c>
      <c r="D165" s="3022">
        <v>1829</v>
      </c>
      <c r="E165" s="3022">
        <v>255.71</v>
      </c>
      <c r="F165" s="3022" t="s">
        <v>3390</v>
      </c>
    </row>
    <row r="166" spans="1:6">
      <c r="A166" s="3022">
        <v>83</v>
      </c>
      <c r="B166" s="3022" t="s">
        <v>3386</v>
      </c>
      <c r="C166" s="3022" t="s">
        <v>3388</v>
      </c>
      <c r="D166" s="3022">
        <v>1830</v>
      </c>
      <c r="E166" s="3022">
        <v>172.61</v>
      </c>
      <c r="F166" s="3022" t="s">
        <v>3390</v>
      </c>
    </row>
    <row r="167" spans="1:6">
      <c r="A167" s="3022">
        <v>84</v>
      </c>
      <c r="B167" s="3022" t="s">
        <v>3386</v>
      </c>
      <c r="C167" s="3022" t="s">
        <v>3388</v>
      </c>
      <c r="D167" s="3022">
        <v>1831</v>
      </c>
      <c r="E167" s="3022">
        <v>127.81</v>
      </c>
      <c r="F167" s="3022" t="s">
        <v>3390</v>
      </c>
    </row>
    <row r="168" spans="1:6">
      <c r="A168" s="3022">
        <v>85</v>
      </c>
      <c r="B168" s="3022" t="s">
        <v>3386</v>
      </c>
      <c r="C168" s="3022" t="s">
        <v>3388</v>
      </c>
      <c r="D168" s="3022">
        <v>1832</v>
      </c>
      <c r="E168" s="3022">
        <v>245.4</v>
      </c>
      <c r="F168" s="3022" t="s">
        <v>3390</v>
      </c>
    </row>
    <row r="169" spans="1:6">
      <c r="A169" s="3022">
        <v>86</v>
      </c>
      <c r="B169" s="3022" t="s">
        <v>3386</v>
      </c>
      <c r="C169" s="3022" t="s">
        <v>3388</v>
      </c>
      <c r="D169" s="3022">
        <v>1833</v>
      </c>
      <c r="E169" s="3022">
        <v>115.82</v>
      </c>
      <c r="F169" s="3022" t="s">
        <v>3390</v>
      </c>
    </row>
    <row r="170" spans="1:6">
      <c r="A170" s="3022">
        <v>87</v>
      </c>
      <c r="B170" s="3022" t="s">
        <v>3386</v>
      </c>
      <c r="C170" s="3022" t="s">
        <v>3388</v>
      </c>
      <c r="D170" s="3022">
        <v>1834</v>
      </c>
      <c r="E170" s="3022">
        <v>112.64</v>
      </c>
      <c r="F170" s="3022" t="s">
        <v>3390</v>
      </c>
    </row>
    <row r="171" spans="1:6">
      <c r="A171" s="3022">
        <v>88</v>
      </c>
      <c r="B171" s="3022" t="s">
        <v>3386</v>
      </c>
      <c r="C171" s="3022" t="s">
        <v>3388</v>
      </c>
      <c r="D171" s="3022">
        <v>1901</v>
      </c>
      <c r="E171" s="3022">
        <v>43.56</v>
      </c>
      <c r="F171" s="3022" t="s">
        <v>3390</v>
      </c>
    </row>
    <row r="172" spans="1:6">
      <c r="A172" s="3022">
        <v>89</v>
      </c>
      <c r="B172" s="3022" t="s">
        <v>3386</v>
      </c>
      <c r="C172" s="3022" t="s">
        <v>3388</v>
      </c>
      <c r="D172" s="3022">
        <v>1902</v>
      </c>
      <c r="E172" s="3022">
        <v>47.97</v>
      </c>
      <c r="F172" s="3022" t="s">
        <v>3390</v>
      </c>
    </row>
    <row r="173" spans="1:6">
      <c r="A173" s="3022">
        <v>90</v>
      </c>
      <c r="B173" s="3022" t="s">
        <v>3386</v>
      </c>
      <c r="C173" s="3022" t="s">
        <v>3388</v>
      </c>
      <c r="D173" s="3022">
        <v>1903</v>
      </c>
      <c r="E173" s="3022">
        <v>47.97</v>
      </c>
      <c r="F173" s="3022" t="s">
        <v>3390</v>
      </c>
    </row>
    <row r="174" spans="1:6">
      <c r="A174" s="3022">
        <v>91</v>
      </c>
      <c r="B174" s="3022" t="s">
        <v>3386</v>
      </c>
      <c r="C174" s="3022" t="s">
        <v>3388</v>
      </c>
      <c r="D174" s="3022">
        <v>1904</v>
      </c>
      <c r="E174" s="3022">
        <v>47.97</v>
      </c>
      <c r="F174" s="3022" t="s">
        <v>3390</v>
      </c>
    </row>
    <row r="175" spans="1:6">
      <c r="A175" s="3022">
        <v>92</v>
      </c>
      <c r="B175" s="3022" t="s">
        <v>3386</v>
      </c>
      <c r="C175" s="3022" t="s">
        <v>3388</v>
      </c>
      <c r="D175" s="3022">
        <v>1905</v>
      </c>
      <c r="E175" s="3022">
        <v>47.97</v>
      </c>
      <c r="F175" s="3022" t="s">
        <v>3390</v>
      </c>
    </row>
    <row r="176" spans="1:6">
      <c r="A176" s="3022">
        <v>93</v>
      </c>
      <c r="B176" s="3022" t="s">
        <v>3386</v>
      </c>
      <c r="C176" s="3022" t="s">
        <v>3388</v>
      </c>
      <c r="D176" s="3022">
        <v>1906</v>
      </c>
      <c r="E176" s="3022">
        <v>47.97</v>
      </c>
      <c r="F176" s="3022" t="s">
        <v>3390</v>
      </c>
    </row>
    <row r="177" spans="1:6">
      <c r="A177" s="3022">
        <v>94</v>
      </c>
      <c r="B177" s="3022" t="s">
        <v>3386</v>
      </c>
      <c r="C177" s="3022" t="s">
        <v>3388</v>
      </c>
      <c r="D177" s="3022">
        <v>1907</v>
      </c>
      <c r="E177" s="3022">
        <v>47.97</v>
      </c>
      <c r="F177" s="3022" t="s">
        <v>3390</v>
      </c>
    </row>
    <row r="178" spans="1:6">
      <c r="A178" s="3022">
        <v>95</v>
      </c>
      <c r="B178" s="3022" t="s">
        <v>3386</v>
      </c>
      <c r="C178" s="3022" t="s">
        <v>3388</v>
      </c>
      <c r="D178" s="3022">
        <v>1908</v>
      </c>
      <c r="E178" s="3022">
        <v>47.97</v>
      </c>
      <c r="F178" s="3022" t="s">
        <v>3390</v>
      </c>
    </row>
    <row r="179" spans="1:6">
      <c r="A179" s="3022">
        <v>96</v>
      </c>
      <c r="B179" s="3022" t="s">
        <v>3386</v>
      </c>
      <c r="C179" s="3022" t="s">
        <v>3388</v>
      </c>
      <c r="D179" s="3022">
        <v>1909</v>
      </c>
      <c r="E179" s="3022">
        <v>47.97</v>
      </c>
      <c r="F179" s="3022" t="s">
        <v>3390</v>
      </c>
    </row>
    <row r="180" spans="1:6">
      <c r="A180" s="3022">
        <v>97</v>
      </c>
      <c r="B180" s="3022" t="s">
        <v>3386</v>
      </c>
      <c r="C180" s="3022" t="s">
        <v>3388</v>
      </c>
      <c r="D180" s="3022">
        <v>1910</v>
      </c>
      <c r="E180" s="3022">
        <v>47.97</v>
      </c>
      <c r="F180" s="3022" t="s">
        <v>3390</v>
      </c>
    </row>
    <row r="181" spans="1:6">
      <c r="A181" s="3022">
        <v>98</v>
      </c>
      <c r="B181" s="3022" t="s">
        <v>3386</v>
      </c>
      <c r="C181" s="3022" t="s">
        <v>3388</v>
      </c>
      <c r="D181" s="3022">
        <v>1911</v>
      </c>
      <c r="E181" s="3022">
        <v>47.97</v>
      </c>
      <c r="F181" s="3022" t="s">
        <v>3390</v>
      </c>
    </row>
    <row r="182" spans="1:6">
      <c r="A182" s="3022">
        <v>99</v>
      </c>
      <c r="B182" s="3022" t="s">
        <v>3386</v>
      </c>
      <c r="C182" s="3022" t="s">
        <v>3388</v>
      </c>
      <c r="D182" s="3022">
        <v>1912</v>
      </c>
      <c r="E182" s="3022">
        <v>47.97</v>
      </c>
      <c r="F182" s="3022" t="s">
        <v>3390</v>
      </c>
    </row>
    <row r="183" spans="1:6">
      <c r="A183" s="3022">
        <v>100</v>
      </c>
      <c r="B183" s="3022" t="s">
        <v>3386</v>
      </c>
      <c r="C183" s="3022" t="s">
        <v>3388</v>
      </c>
      <c r="D183" s="3022">
        <v>1913</v>
      </c>
      <c r="E183" s="3022">
        <v>47.97</v>
      </c>
      <c r="F183" s="3022" t="s">
        <v>3390</v>
      </c>
    </row>
    <row r="184" spans="1:6">
      <c r="A184" s="3022">
        <v>101</v>
      </c>
      <c r="B184" s="3022" t="s">
        <v>3386</v>
      </c>
      <c r="C184" s="3022" t="s">
        <v>3388</v>
      </c>
      <c r="D184" s="3022">
        <v>1914</v>
      </c>
      <c r="E184" s="3022">
        <v>47.97</v>
      </c>
      <c r="F184" s="3022" t="s">
        <v>3390</v>
      </c>
    </row>
    <row r="185" spans="1:6">
      <c r="A185" s="3022">
        <v>102</v>
      </c>
      <c r="B185" s="3022" t="s">
        <v>3386</v>
      </c>
      <c r="C185" s="3022" t="s">
        <v>3388</v>
      </c>
      <c r="D185" s="3022">
        <v>1915</v>
      </c>
      <c r="E185" s="3022">
        <v>47.97</v>
      </c>
      <c r="F185" s="3022" t="s">
        <v>3390</v>
      </c>
    </row>
    <row r="186" spans="1:6">
      <c r="A186" s="3022">
        <v>103</v>
      </c>
      <c r="B186" s="3022" t="s">
        <v>3386</v>
      </c>
      <c r="C186" s="3022" t="s">
        <v>3388</v>
      </c>
      <c r="D186" s="3022">
        <v>1916</v>
      </c>
      <c r="E186" s="3022">
        <v>39.54</v>
      </c>
      <c r="F186" s="3022" t="s">
        <v>3390</v>
      </c>
    </row>
    <row r="187" spans="1:6">
      <c r="A187" s="3022">
        <v>104</v>
      </c>
      <c r="B187" s="3022" t="s">
        <v>3386</v>
      </c>
      <c r="C187" s="3022" t="s">
        <v>3388</v>
      </c>
      <c r="D187" s="3022">
        <v>1917</v>
      </c>
      <c r="E187" s="3022">
        <v>56.7</v>
      </c>
      <c r="F187" s="3022" t="s">
        <v>3390</v>
      </c>
    </row>
    <row r="188" spans="1:6">
      <c r="A188" s="3022">
        <v>105</v>
      </c>
      <c r="B188" s="3022" t="s">
        <v>3386</v>
      </c>
      <c r="C188" s="3022" t="s">
        <v>3388</v>
      </c>
      <c r="D188" s="3022">
        <v>1918</v>
      </c>
      <c r="E188" s="3022">
        <v>54.08</v>
      </c>
      <c r="F188" s="3022" t="s">
        <v>3390</v>
      </c>
    </row>
    <row r="189" spans="1:6">
      <c r="A189" s="3022">
        <v>106</v>
      </c>
      <c r="B189" s="3022" t="s">
        <v>3386</v>
      </c>
      <c r="C189" s="3022" t="s">
        <v>3388</v>
      </c>
      <c r="D189" s="3022">
        <v>1919</v>
      </c>
      <c r="E189" s="3022">
        <v>54.08</v>
      </c>
      <c r="F189" s="3022" t="s">
        <v>3390</v>
      </c>
    </row>
    <row r="190" spans="1:6">
      <c r="A190" s="3022">
        <v>107</v>
      </c>
      <c r="B190" s="3022" t="s">
        <v>3386</v>
      </c>
      <c r="C190" s="3022" t="s">
        <v>3388</v>
      </c>
      <c r="D190" s="3022">
        <v>1920</v>
      </c>
      <c r="E190" s="3022">
        <v>54.08</v>
      </c>
      <c r="F190" s="3022" t="s">
        <v>3390</v>
      </c>
    </row>
    <row r="191" spans="1:6">
      <c r="A191" s="3022">
        <v>108</v>
      </c>
      <c r="B191" s="3022" t="s">
        <v>3386</v>
      </c>
      <c r="C191" s="3022" t="s">
        <v>3388</v>
      </c>
      <c r="D191" s="3022">
        <v>1921</v>
      </c>
      <c r="E191" s="3022">
        <v>54.08</v>
      </c>
      <c r="F191" s="3022" t="s">
        <v>3390</v>
      </c>
    </row>
    <row r="192" spans="1:6">
      <c r="A192" s="3022">
        <v>109</v>
      </c>
      <c r="B192" s="3022" t="s">
        <v>3386</v>
      </c>
      <c r="C192" s="3022" t="s">
        <v>3388</v>
      </c>
      <c r="D192" s="3022">
        <v>1922</v>
      </c>
      <c r="E192" s="3022">
        <v>54.08</v>
      </c>
      <c r="F192" s="3022" t="s">
        <v>3390</v>
      </c>
    </row>
    <row r="193" spans="1:6">
      <c r="A193" s="3022">
        <v>110</v>
      </c>
      <c r="B193" s="3022" t="s">
        <v>3386</v>
      </c>
      <c r="C193" s="3022" t="s">
        <v>3388</v>
      </c>
      <c r="D193" s="3022">
        <v>1923</v>
      </c>
      <c r="E193" s="3022">
        <v>58.14</v>
      </c>
      <c r="F193" s="3022" t="s">
        <v>3390</v>
      </c>
    </row>
    <row r="194" spans="1:6">
      <c r="A194" s="3022">
        <v>111</v>
      </c>
      <c r="B194" s="3022" t="s">
        <v>3386</v>
      </c>
      <c r="C194" s="3022" t="s">
        <v>3388</v>
      </c>
      <c r="D194" s="3022">
        <v>1924</v>
      </c>
      <c r="E194" s="3022">
        <v>55.63</v>
      </c>
      <c r="F194" s="3022" t="s">
        <v>3390</v>
      </c>
    </row>
    <row r="195" spans="1:6">
      <c r="A195" s="3022">
        <v>112</v>
      </c>
      <c r="B195" s="3022" t="s">
        <v>3386</v>
      </c>
      <c r="C195" s="3022" t="s">
        <v>3388</v>
      </c>
      <c r="D195" s="3022">
        <v>1925</v>
      </c>
      <c r="E195" s="3022">
        <v>48.54</v>
      </c>
      <c r="F195" s="3022" t="s">
        <v>3390</v>
      </c>
    </row>
    <row r="196" spans="1:6">
      <c r="A196" s="3022">
        <v>113</v>
      </c>
      <c r="B196" s="3022" t="s">
        <v>3386</v>
      </c>
      <c r="C196" s="3022" t="s">
        <v>3388</v>
      </c>
      <c r="D196" s="3022">
        <v>1926</v>
      </c>
      <c r="E196" s="3022">
        <v>48.64</v>
      </c>
      <c r="F196" s="3022" t="s">
        <v>3390</v>
      </c>
    </row>
    <row r="197" spans="1:6">
      <c r="A197" s="3022">
        <v>114</v>
      </c>
      <c r="B197" s="3022" t="s">
        <v>3386</v>
      </c>
      <c r="C197" s="3022" t="s">
        <v>3388</v>
      </c>
      <c r="D197" s="3022">
        <v>1927</v>
      </c>
      <c r="E197" s="3022">
        <v>55.71</v>
      </c>
      <c r="F197" s="3022" t="s">
        <v>3390</v>
      </c>
    </row>
    <row r="198" spans="1:6">
      <c r="A198" s="3022">
        <v>115</v>
      </c>
      <c r="B198" s="3022" t="s">
        <v>3386</v>
      </c>
      <c r="C198" s="3022" t="s">
        <v>3388</v>
      </c>
      <c r="D198" s="3022">
        <v>1928</v>
      </c>
      <c r="E198" s="3022">
        <v>330.9</v>
      </c>
      <c r="F198" s="3022" t="s">
        <v>3390</v>
      </c>
    </row>
    <row r="199" spans="1:6">
      <c r="A199" s="3022">
        <v>116</v>
      </c>
      <c r="B199" s="3022" t="s">
        <v>3386</v>
      </c>
      <c r="C199" s="3022" t="s">
        <v>3388</v>
      </c>
      <c r="D199" s="3022">
        <v>1929</v>
      </c>
      <c r="E199" s="3022">
        <v>255.71</v>
      </c>
      <c r="F199" s="3022" t="s">
        <v>3390</v>
      </c>
    </row>
    <row r="200" spans="1:6">
      <c r="A200" s="3022">
        <v>117</v>
      </c>
      <c r="B200" s="3022" t="s">
        <v>3386</v>
      </c>
      <c r="C200" s="3022" t="s">
        <v>3388</v>
      </c>
      <c r="D200" s="3022">
        <v>1930</v>
      </c>
      <c r="E200" s="3022">
        <v>172.61</v>
      </c>
      <c r="F200" s="3022" t="s">
        <v>3390</v>
      </c>
    </row>
    <row r="201" spans="1:6">
      <c r="A201" s="3022">
        <v>118</v>
      </c>
      <c r="B201" s="3022" t="s">
        <v>3386</v>
      </c>
      <c r="C201" s="3022" t="s">
        <v>3388</v>
      </c>
      <c r="D201" s="3022">
        <v>1931</v>
      </c>
      <c r="E201" s="3022">
        <v>127.81</v>
      </c>
      <c r="F201" s="3022" t="s">
        <v>3390</v>
      </c>
    </row>
    <row r="202" spans="1:6">
      <c r="A202" s="3022">
        <v>119</v>
      </c>
      <c r="B202" s="3022" t="s">
        <v>3386</v>
      </c>
      <c r="C202" s="3022" t="s">
        <v>3388</v>
      </c>
      <c r="D202" s="3022">
        <v>1932</v>
      </c>
      <c r="E202" s="3022">
        <v>245.4</v>
      </c>
      <c r="F202" s="3022" t="s">
        <v>3390</v>
      </c>
    </row>
    <row r="203" spans="1:6">
      <c r="A203" s="3022">
        <v>120</v>
      </c>
      <c r="B203" s="3022" t="s">
        <v>3386</v>
      </c>
      <c r="C203" s="3022" t="s">
        <v>3388</v>
      </c>
      <c r="D203" s="3022">
        <v>1933</v>
      </c>
      <c r="E203" s="3022">
        <v>115.82</v>
      </c>
      <c r="F203" s="3022" t="s">
        <v>3390</v>
      </c>
    </row>
    <row r="204" spans="1:6">
      <c r="A204" s="3022">
        <v>121</v>
      </c>
      <c r="B204" s="3022" t="s">
        <v>3386</v>
      </c>
      <c r="C204" s="3022" t="s">
        <v>3388</v>
      </c>
      <c r="D204" s="3022">
        <v>1934</v>
      </c>
      <c r="E204" s="3022">
        <v>112.64</v>
      </c>
      <c r="F204" s="3022" t="s">
        <v>3390</v>
      </c>
    </row>
    <row r="205" spans="1:6">
      <c r="A205" s="3022">
        <v>122</v>
      </c>
      <c r="B205" s="3022" t="s">
        <v>3386</v>
      </c>
      <c r="C205" s="3022" t="s">
        <v>3388</v>
      </c>
      <c r="D205" s="3022">
        <v>2001</v>
      </c>
      <c r="E205" s="3022">
        <v>43.56</v>
      </c>
      <c r="F205" s="3022" t="s">
        <v>3390</v>
      </c>
    </row>
    <row r="206" spans="1:6">
      <c r="A206" s="3022">
        <v>123</v>
      </c>
      <c r="B206" s="3022" t="s">
        <v>3386</v>
      </c>
      <c r="C206" s="3022" t="s">
        <v>3388</v>
      </c>
      <c r="D206" s="3022">
        <v>2002</v>
      </c>
      <c r="E206" s="3022">
        <v>47.97</v>
      </c>
      <c r="F206" s="3022" t="s">
        <v>3390</v>
      </c>
    </row>
    <row r="207" spans="1:6">
      <c r="A207" s="3022">
        <v>124</v>
      </c>
      <c r="B207" s="3022" t="s">
        <v>3386</v>
      </c>
      <c r="C207" s="3022" t="s">
        <v>3388</v>
      </c>
      <c r="D207" s="3022">
        <v>2003</v>
      </c>
      <c r="E207" s="3022">
        <v>47.97</v>
      </c>
      <c r="F207" s="3022" t="s">
        <v>3390</v>
      </c>
    </row>
    <row r="208" spans="1:6">
      <c r="A208" s="3022">
        <v>125</v>
      </c>
      <c r="B208" s="3022" t="s">
        <v>3386</v>
      </c>
      <c r="C208" s="3022" t="s">
        <v>3388</v>
      </c>
      <c r="D208" s="3022">
        <v>2004</v>
      </c>
      <c r="E208" s="3022">
        <v>47.97</v>
      </c>
      <c r="F208" s="3022" t="s">
        <v>3390</v>
      </c>
    </row>
    <row r="209" spans="1:6">
      <c r="A209" s="3022">
        <v>126</v>
      </c>
      <c r="B209" s="3022" t="s">
        <v>3386</v>
      </c>
      <c r="C209" s="3022" t="s">
        <v>3388</v>
      </c>
      <c r="D209" s="3022">
        <v>2005</v>
      </c>
      <c r="E209" s="3022">
        <v>47.97</v>
      </c>
      <c r="F209" s="3022" t="s">
        <v>3390</v>
      </c>
    </row>
    <row r="210" spans="1:6">
      <c r="A210" s="3022">
        <v>127</v>
      </c>
      <c r="B210" s="3022" t="s">
        <v>3386</v>
      </c>
      <c r="C210" s="3022" t="s">
        <v>3388</v>
      </c>
      <c r="D210" s="3022">
        <v>2006</v>
      </c>
      <c r="E210" s="3022">
        <v>47.97</v>
      </c>
      <c r="F210" s="3022" t="s">
        <v>3390</v>
      </c>
    </row>
    <row r="211" spans="1:6">
      <c r="A211" s="3022">
        <v>128</v>
      </c>
      <c r="B211" s="3022" t="s">
        <v>3386</v>
      </c>
      <c r="C211" s="3022" t="s">
        <v>3388</v>
      </c>
      <c r="D211" s="3022">
        <v>2007</v>
      </c>
      <c r="E211" s="3022">
        <v>47.97</v>
      </c>
      <c r="F211" s="3022" t="s">
        <v>3390</v>
      </c>
    </row>
    <row r="212" spans="1:6">
      <c r="A212" s="3022">
        <v>129</v>
      </c>
      <c r="B212" s="3022" t="s">
        <v>3386</v>
      </c>
      <c r="C212" s="3022" t="s">
        <v>3388</v>
      </c>
      <c r="D212" s="3022">
        <v>2008</v>
      </c>
      <c r="E212" s="3022">
        <v>47.97</v>
      </c>
      <c r="F212" s="3022" t="s">
        <v>3390</v>
      </c>
    </row>
    <row r="213" spans="1:6">
      <c r="A213" s="3022">
        <v>130</v>
      </c>
      <c r="B213" s="3022" t="s">
        <v>3386</v>
      </c>
      <c r="C213" s="3022" t="s">
        <v>3388</v>
      </c>
      <c r="D213" s="3022">
        <v>2009</v>
      </c>
      <c r="E213" s="3022">
        <v>47.97</v>
      </c>
      <c r="F213" s="3022" t="s">
        <v>3390</v>
      </c>
    </row>
    <row r="214" spans="1:6">
      <c r="A214" s="3022">
        <v>131</v>
      </c>
      <c r="B214" s="3022" t="s">
        <v>3386</v>
      </c>
      <c r="C214" s="3022" t="s">
        <v>3388</v>
      </c>
      <c r="D214" s="3022">
        <v>2010</v>
      </c>
      <c r="E214" s="3022">
        <v>47.97</v>
      </c>
      <c r="F214" s="3022" t="s">
        <v>3390</v>
      </c>
    </row>
    <row r="215" spans="1:6">
      <c r="A215" s="3022">
        <v>132</v>
      </c>
      <c r="B215" s="3022" t="s">
        <v>3386</v>
      </c>
      <c r="C215" s="3022" t="s">
        <v>3388</v>
      </c>
      <c r="D215" s="3022">
        <v>2011</v>
      </c>
      <c r="E215" s="3022">
        <v>47.97</v>
      </c>
      <c r="F215" s="3022" t="s">
        <v>3390</v>
      </c>
    </row>
    <row r="216" spans="1:6">
      <c r="A216" s="3022">
        <v>133</v>
      </c>
      <c r="B216" s="3022" t="s">
        <v>3386</v>
      </c>
      <c r="C216" s="3022" t="s">
        <v>3388</v>
      </c>
      <c r="D216" s="3022">
        <v>2012</v>
      </c>
      <c r="E216" s="3022">
        <v>47.97</v>
      </c>
      <c r="F216" s="3022" t="s">
        <v>3390</v>
      </c>
    </row>
    <row r="217" spans="1:6">
      <c r="A217" s="3022">
        <v>134</v>
      </c>
      <c r="B217" s="3022" t="s">
        <v>3386</v>
      </c>
      <c r="C217" s="3022" t="s">
        <v>3388</v>
      </c>
      <c r="D217" s="3022">
        <v>2013</v>
      </c>
      <c r="E217" s="3022">
        <v>47.97</v>
      </c>
      <c r="F217" s="3022" t="s">
        <v>3390</v>
      </c>
    </row>
    <row r="218" spans="1:6">
      <c r="A218" s="3022">
        <v>135</v>
      </c>
      <c r="B218" s="3022" t="s">
        <v>3386</v>
      </c>
      <c r="C218" s="3022" t="s">
        <v>3388</v>
      </c>
      <c r="D218" s="3022">
        <v>2014</v>
      </c>
      <c r="E218" s="3022">
        <v>47.97</v>
      </c>
      <c r="F218" s="3022" t="s">
        <v>3390</v>
      </c>
    </row>
    <row r="219" spans="1:6">
      <c r="A219" s="3022">
        <v>136</v>
      </c>
      <c r="B219" s="3022" t="s">
        <v>3386</v>
      </c>
      <c r="C219" s="3022" t="s">
        <v>3388</v>
      </c>
      <c r="D219" s="3022">
        <v>2015</v>
      </c>
      <c r="E219" s="3022">
        <v>47.97</v>
      </c>
      <c r="F219" s="3022" t="s">
        <v>3390</v>
      </c>
    </row>
    <row r="220" spans="1:6">
      <c r="A220" s="3022">
        <v>137</v>
      </c>
      <c r="B220" s="3022" t="s">
        <v>3386</v>
      </c>
      <c r="C220" s="3022" t="s">
        <v>3388</v>
      </c>
      <c r="D220" s="3022">
        <v>2016</v>
      </c>
      <c r="E220" s="3022">
        <v>39.54</v>
      </c>
      <c r="F220" s="3022" t="s">
        <v>3390</v>
      </c>
    </row>
    <row r="221" spans="1:6">
      <c r="A221" s="3022">
        <v>138</v>
      </c>
      <c r="B221" s="3022" t="s">
        <v>3386</v>
      </c>
      <c r="C221" s="3022" t="s">
        <v>3388</v>
      </c>
      <c r="D221" s="3022">
        <v>2017</v>
      </c>
      <c r="E221" s="3022">
        <v>56.7</v>
      </c>
      <c r="F221" s="3022" t="s">
        <v>3390</v>
      </c>
    </row>
    <row r="222" spans="1:6">
      <c r="A222" s="3022">
        <v>139</v>
      </c>
      <c r="B222" s="3022" t="s">
        <v>3386</v>
      </c>
      <c r="C222" s="3022" t="s">
        <v>3388</v>
      </c>
      <c r="D222" s="3022">
        <v>2018</v>
      </c>
      <c r="E222" s="3022">
        <v>54.08</v>
      </c>
      <c r="F222" s="3022" t="s">
        <v>3390</v>
      </c>
    </row>
    <row r="223" spans="1:6">
      <c r="A223" s="3022">
        <v>140</v>
      </c>
      <c r="B223" s="3022" t="s">
        <v>3386</v>
      </c>
      <c r="C223" s="3022" t="s">
        <v>3388</v>
      </c>
      <c r="D223" s="3022">
        <v>2019</v>
      </c>
      <c r="E223" s="3022">
        <v>54.08</v>
      </c>
      <c r="F223" s="3022" t="s">
        <v>3390</v>
      </c>
    </row>
    <row r="224" spans="1:6">
      <c r="A224" s="3022">
        <v>141</v>
      </c>
      <c r="B224" s="3022" t="s">
        <v>3386</v>
      </c>
      <c r="C224" s="3022" t="s">
        <v>3388</v>
      </c>
      <c r="D224" s="3022">
        <v>2020</v>
      </c>
      <c r="E224" s="3022">
        <v>54.08</v>
      </c>
      <c r="F224" s="3022" t="s">
        <v>3390</v>
      </c>
    </row>
    <row r="225" spans="1:6">
      <c r="A225" s="3022">
        <v>142</v>
      </c>
      <c r="B225" s="3022" t="s">
        <v>3386</v>
      </c>
      <c r="C225" s="3022" t="s">
        <v>3388</v>
      </c>
      <c r="D225" s="3022">
        <v>2021</v>
      </c>
      <c r="E225" s="3022">
        <v>54.08</v>
      </c>
      <c r="F225" s="3022" t="s">
        <v>3390</v>
      </c>
    </row>
    <row r="226" spans="1:6">
      <c r="A226" s="3022">
        <v>143</v>
      </c>
      <c r="B226" s="3022" t="s">
        <v>3386</v>
      </c>
      <c r="C226" s="3022" t="s">
        <v>3388</v>
      </c>
      <c r="D226" s="3022">
        <v>2022</v>
      </c>
      <c r="E226" s="3022">
        <v>54.08</v>
      </c>
      <c r="F226" s="3022" t="s">
        <v>3390</v>
      </c>
    </row>
    <row r="227" spans="1:6">
      <c r="A227" s="3022">
        <v>144</v>
      </c>
      <c r="B227" s="3022" t="s">
        <v>3386</v>
      </c>
      <c r="C227" s="3022" t="s">
        <v>3388</v>
      </c>
      <c r="D227" s="3022">
        <v>2023</v>
      </c>
      <c r="E227" s="3022">
        <v>58.14</v>
      </c>
      <c r="F227" s="3022" t="s">
        <v>3390</v>
      </c>
    </row>
    <row r="228" spans="1:6">
      <c r="A228" s="3022">
        <v>145</v>
      </c>
      <c r="B228" s="3022" t="s">
        <v>3386</v>
      </c>
      <c r="C228" s="3022" t="s">
        <v>3388</v>
      </c>
      <c r="D228" s="3022">
        <v>2024</v>
      </c>
      <c r="E228" s="3022">
        <v>55.63</v>
      </c>
      <c r="F228" s="3022" t="s">
        <v>3390</v>
      </c>
    </row>
    <row r="229" spans="1:6">
      <c r="A229" s="3022">
        <v>146</v>
      </c>
      <c r="B229" s="3022" t="s">
        <v>3386</v>
      </c>
      <c r="C229" s="3022" t="s">
        <v>3388</v>
      </c>
      <c r="D229" s="3022">
        <v>2025</v>
      </c>
      <c r="E229" s="3022">
        <v>48.54</v>
      </c>
      <c r="F229" s="3022" t="s">
        <v>3390</v>
      </c>
    </row>
    <row r="230" spans="1:6">
      <c r="A230" s="3022">
        <v>147</v>
      </c>
      <c r="B230" s="3022" t="s">
        <v>3386</v>
      </c>
      <c r="C230" s="3022" t="s">
        <v>3388</v>
      </c>
      <c r="D230" s="3022">
        <v>2026</v>
      </c>
      <c r="E230" s="3022">
        <v>48.64</v>
      </c>
      <c r="F230" s="3022" t="s">
        <v>3390</v>
      </c>
    </row>
    <row r="231" spans="1:6">
      <c r="A231" s="3022">
        <v>148</v>
      </c>
      <c r="B231" s="3022" t="s">
        <v>3386</v>
      </c>
      <c r="C231" s="3022" t="s">
        <v>3388</v>
      </c>
      <c r="D231" s="3022">
        <v>2027</v>
      </c>
      <c r="E231" s="3022">
        <v>55.71</v>
      </c>
      <c r="F231" s="3022" t="s">
        <v>3390</v>
      </c>
    </row>
    <row r="232" spans="1:6">
      <c r="A232" s="3022">
        <v>149</v>
      </c>
      <c r="B232" s="3022" t="s">
        <v>3386</v>
      </c>
      <c r="C232" s="3022" t="s">
        <v>3388</v>
      </c>
      <c r="D232" s="3022">
        <v>2028</v>
      </c>
      <c r="E232" s="3022">
        <v>330.9</v>
      </c>
      <c r="F232" s="3022" t="s">
        <v>3390</v>
      </c>
    </row>
    <row r="233" spans="1:6">
      <c r="A233" s="3022">
        <v>150</v>
      </c>
      <c r="B233" s="3022" t="s">
        <v>3386</v>
      </c>
      <c r="C233" s="3022" t="s">
        <v>3388</v>
      </c>
      <c r="D233" s="3022">
        <v>2029</v>
      </c>
      <c r="E233" s="3022">
        <v>255.71</v>
      </c>
      <c r="F233" s="3022" t="s">
        <v>3390</v>
      </c>
    </row>
    <row r="234" spans="1:6">
      <c r="A234" s="3022">
        <v>151</v>
      </c>
      <c r="B234" s="3022" t="s">
        <v>3386</v>
      </c>
      <c r="C234" s="3022" t="s">
        <v>3388</v>
      </c>
      <c r="D234" s="3022">
        <v>2030</v>
      </c>
      <c r="E234" s="3022">
        <v>172.61</v>
      </c>
      <c r="F234" s="3022" t="s">
        <v>3390</v>
      </c>
    </row>
    <row r="235" spans="1:6">
      <c r="A235" s="3022">
        <v>152</v>
      </c>
      <c r="B235" s="3022" t="s">
        <v>3386</v>
      </c>
      <c r="C235" s="3022" t="s">
        <v>3388</v>
      </c>
      <c r="D235" s="3022">
        <v>2031</v>
      </c>
      <c r="E235" s="3022">
        <v>127.81</v>
      </c>
      <c r="F235" s="3022" t="s">
        <v>3390</v>
      </c>
    </row>
    <row r="236" spans="1:6">
      <c r="A236" s="3022">
        <v>153</v>
      </c>
      <c r="B236" s="3022" t="s">
        <v>3386</v>
      </c>
      <c r="C236" s="3022" t="s">
        <v>3388</v>
      </c>
      <c r="D236" s="3022">
        <v>2032</v>
      </c>
      <c r="E236" s="3022">
        <v>245.4</v>
      </c>
      <c r="F236" s="3022" t="s">
        <v>3390</v>
      </c>
    </row>
    <row r="237" spans="1:6">
      <c r="A237" s="3022">
        <v>154</v>
      </c>
      <c r="B237" s="3022" t="s">
        <v>3386</v>
      </c>
      <c r="C237" s="3022" t="s">
        <v>3388</v>
      </c>
      <c r="D237" s="3022">
        <v>2033</v>
      </c>
      <c r="E237" s="3022">
        <v>115.82</v>
      </c>
      <c r="F237" s="3022" t="s">
        <v>3390</v>
      </c>
    </row>
    <row r="238" spans="1:6">
      <c r="A238" s="3022">
        <v>155</v>
      </c>
      <c r="B238" s="3022" t="s">
        <v>3386</v>
      </c>
      <c r="C238" s="3022" t="s">
        <v>3388</v>
      </c>
      <c r="D238" s="3022">
        <v>2034</v>
      </c>
      <c r="E238" s="3022">
        <v>112.64</v>
      </c>
      <c r="F238" s="3022" t="s">
        <v>3390</v>
      </c>
    </row>
    <row r="239" spans="1:6">
      <c r="A239" s="3022">
        <v>156</v>
      </c>
      <c r="B239" s="3022" t="s">
        <v>3386</v>
      </c>
      <c r="C239" s="3022" t="s">
        <v>3388</v>
      </c>
      <c r="D239" s="3022">
        <v>2101</v>
      </c>
      <c r="E239" s="3022">
        <v>43.56</v>
      </c>
      <c r="F239" s="3022" t="s">
        <v>3390</v>
      </c>
    </row>
    <row r="240" spans="1:6">
      <c r="A240" s="3022">
        <v>157</v>
      </c>
      <c r="B240" s="3022" t="s">
        <v>3386</v>
      </c>
      <c r="C240" s="3022" t="s">
        <v>3388</v>
      </c>
      <c r="D240" s="3022">
        <v>2102</v>
      </c>
      <c r="E240" s="3022">
        <v>47.97</v>
      </c>
      <c r="F240" s="3022" t="s">
        <v>3390</v>
      </c>
    </row>
    <row r="241" spans="1:6">
      <c r="A241" s="3022">
        <v>158</v>
      </c>
      <c r="B241" s="3022" t="s">
        <v>3386</v>
      </c>
      <c r="C241" s="3022" t="s">
        <v>3388</v>
      </c>
      <c r="D241" s="3022">
        <v>2103</v>
      </c>
      <c r="E241" s="3022">
        <v>47.97</v>
      </c>
      <c r="F241" s="3022" t="s">
        <v>3390</v>
      </c>
    </row>
    <row r="242" spans="1:6">
      <c r="A242" s="3022">
        <v>159</v>
      </c>
      <c r="B242" s="3022" t="s">
        <v>3386</v>
      </c>
      <c r="C242" s="3022" t="s">
        <v>3388</v>
      </c>
      <c r="D242" s="3022">
        <v>2104</v>
      </c>
      <c r="E242" s="3022">
        <v>47.97</v>
      </c>
      <c r="F242" s="3022" t="s">
        <v>3390</v>
      </c>
    </row>
    <row r="243" spans="1:6">
      <c r="A243" s="3022">
        <v>160</v>
      </c>
      <c r="B243" s="3022" t="s">
        <v>3386</v>
      </c>
      <c r="C243" s="3022" t="s">
        <v>3388</v>
      </c>
      <c r="D243" s="3022">
        <v>2105</v>
      </c>
      <c r="E243" s="3022">
        <v>47.97</v>
      </c>
      <c r="F243" s="3022" t="s">
        <v>3390</v>
      </c>
    </row>
    <row r="244" spans="1:6">
      <c r="A244" s="3022">
        <v>161</v>
      </c>
      <c r="B244" s="3022" t="s">
        <v>3386</v>
      </c>
      <c r="C244" s="3022" t="s">
        <v>3388</v>
      </c>
      <c r="D244" s="3022">
        <v>2106</v>
      </c>
      <c r="E244" s="3022">
        <v>47.97</v>
      </c>
      <c r="F244" s="3022" t="s">
        <v>3390</v>
      </c>
    </row>
    <row r="245" spans="1:6">
      <c r="A245" s="3022">
        <v>162</v>
      </c>
      <c r="B245" s="3022" t="s">
        <v>3386</v>
      </c>
      <c r="C245" s="3022" t="s">
        <v>3388</v>
      </c>
      <c r="D245" s="3022">
        <v>2107</v>
      </c>
      <c r="E245" s="3022">
        <v>47.97</v>
      </c>
      <c r="F245" s="3022" t="s">
        <v>3390</v>
      </c>
    </row>
    <row r="246" spans="1:6">
      <c r="A246" s="3022">
        <v>163</v>
      </c>
      <c r="B246" s="3022" t="s">
        <v>3386</v>
      </c>
      <c r="C246" s="3022" t="s">
        <v>3388</v>
      </c>
      <c r="D246" s="3022">
        <v>2108</v>
      </c>
      <c r="E246" s="3022">
        <v>47.97</v>
      </c>
      <c r="F246" s="3022" t="s">
        <v>3390</v>
      </c>
    </row>
    <row r="247" spans="1:6">
      <c r="A247" s="3022">
        <v>164</v>
      </c>
      <c r="B247" s="3022" t="s">
        <v>3386</v>
      </c>
      <c r="C247" s="3022" t="s">
        <v>3388</v>
      </c>
      <c r="D247" s="3022">
        <v>2109</v>
      </c>
      <c r="E247" s="3022">
        <v>47.97</v>
      </c>
      <c r="F247" s="3022" t="s">
        <v>3390</v>
      </c>
    </row>
    <row r="248" spans="1:6">
      <c r="A248" s="3022">
        <v>165</v>
      </c>
      <c r="B248" s="3022" t="s">
        <v>3386</v>
      </c>
      <c r="C248" s="3022" t="s">
        <v>3388</v>
      </c>
      <c r="D248" s="3022">
        <v>2110</v>
      </c>
      <c r="E248" s="3022">
        <v>47.97</v>
      </c>
      <c r="F248" s="3022" t="s">
        <v>3390</v>
      </c>
    </row>
    <row r="249" spans="1:6">
      <c r="A249" s="3022">
        <v>166</v>
      </c>
      <c r="B249" s="3022" t="s">
        <v>3386</v>
      </c>
      <c r="C249" s="3022" t="s">
        <v>3388</v>
      </c>
      <c r="D249" s="3022">
        <v>2111</v>
      </c>
      <c r="E249" s="3022">
        <v>47.97</v>
      </c>
      <c r="F249" s="3022" t="s">
        <v>3390</v>
      </c>
    </row>
    <row r="250" spans="1:6">
      <c r="A250" s="3022">
        <v>167</v>
      </c>
      <c r="B250" s="3022" t="s">
        <v>3386</v>
      </c>
      <c r="C250" s="3022" t="s">
        <v>3388</v>
      </c>
      <c r="D250" s="3022">
        <v>2112</v>
      </c>
      <c r="E250" s="3022">
        <v>47.97</v>
      </c>
      <c r="F250" s="3022" t="s">
        <v>3390</v>
      </c>
    </row>
    <row r="251" spans="1:6">
      <c r="A251" s="3022">
        <v>168</v>
      </c>
      <c r="B251" s="3022" t="s">
        <v>3386</v>
      </c>
      <c r="C251" s="3022" t="s">
        <v>3388</v>
      </c>
      <c r="D251" s="3022">
        <v>2113</v>
      </c>
      <c r="E251" s="3022">
        <v>47.97</v>
      </c>
      <c r="F251" s="3022" t="s">
        <v>3390</v>
      </c>
    </row>
    <row r="252" spans="1:6">
      <c r="A252" s="3022">
        <v>169</v>
      </c>
      <c r="B252" s="3022" t="s">
        <v>3386</v>
      </c>
      <c r="C252" s="3022" t="s">
        <v>3388</v>
      </c>
      <c r="D252" s="3022">
        <v>2114</v>
      </c>
      <c r="E252" s="3022">
        <v>47.97</v>
      </c>
      <c r="F252" s="3022" t="s">
        <v>3390</v>
      </c>
    </row>
    <row r="253" spans="1:6">
      <c r="A253" s="3022">
        <v>170</v>
      </c>
      <c r="B253" s="3022" t="s">
        <v>3386</v>
      </c>
      <c r="C253" s="3022" t="s">
        <v>3388</v>
      </c>
      <c r="D253" s="3022">
        <v>2115</v>
      </c>
      <c r="E253" s="3022">
        <v>47.97</v>
      </c>
      <c r="F253" s="3022" t="s">
        <v>3390</v>
      </c>
    </row>
    <row r="254" spans="1:6">
      <c r="A254" s="3022">
        <v>171</v>
      </c>
      <c r="B254" s="3022" t="s">
        <v>3386</v>
      </c>
      <c r="C254" s="3022" t="s">
        <v>3388</v>
      </c>
      <c r="D254" s="3022">
        <v>2116</v>
      </c>
      <c r="E254" s="3022">
        <v>39.54</v>
      </c>
      <c r="F254" s="3022" t="s">
        <v>3390</v>
      </c>
    </row>
    <row r="255" spans="1:6">
      <c r="A255" s="3022">
        <v>172</v>
      </c>
      <c r="B255" s="3022" t="s">
        <v>3386</v>
      </c>
      <c r="C255" s="3022" t="s">
        <v>3388</v>
      </c>
      <c r="D255" s="3022">
        <v>2117</v>
      </c>
      <c r="E255" s="3022">
        <v>56.7</v>
      </c>
      <c r="F255" s="3022" t="s">
        <v>3390</v>
      </c>
    </row>
    <row r="256" spans="1:6">
      <c r="A256" s="3022">
        <v>173</v>
      </c>
      <c r="B256" s="3022" t="s">
        <v>3386</v>
      </c>
      <c r="C256" s="3022" t="s">
        <v>3388</v>
      </c>
      <c r="D256" s="3022">
        <v>2118</v>
      </c>
      <c r="E256" s="3022">
        <v>54.08</v>
      </c>
      <c r="F256" s="3022" t="s">
        <v>3390</v>
      </c>
    </row>
    <row r="257" spans="1:6">
      <c r="A257" s="3022">
        <v>174</v>
      </c>
      <c r="B257" s="3022" t="s">
        <v>3386</v>
      </c>
      <c r="C257" s="3022" t="s">
        <v>3388</v>
      </c>
      <c r="D257" s="3022">
        <v>2119</v>
      </c>
      <c r="E257" s="3022">
        <v>54.08</v>
      </c>
      <c r="F257" s="3022" t="s">
        <v>3390</v>
      </c>
    </row>
    <row r="258" spans="1:6">
      <c r="A258" s="3022">
        <v>175</v>
      </c>
      <c r="B258" s="3022" t="s">
        <v>3386</v>
      </c>
      <c r="C258" s="3022" t="s">
        <v>3388</v>
      </c>
      <c r="D258" s="3022">
        <v>2120</v>
      </c>
      <c r="E258" s="3022">
        <v>54.08</v>
      </c>
      <c r="F258" s="3022" t="s">
        <v>3390</v>
      </c>
    </row>
    <row r="259" spans="1:6">
      <c r="A259" s="3022">
        <v>176</v>
      </c>
      <c r="B259" s="3022" t="s">
        <v>3386</v>
      </c>
      <c r="C259" s="3022" t="s">
        <v>3388</v>
      </c>
      <c r="D259" s="3022">
        <v>2121</v>
      </c>
      <c r="E259" s="3022">
        <v>54.08</v>
      </c>
      <c r="F259" s="3022" t="s">
        <v>3390</v>
      </c>
    </row>
    <row r="260" spans="1:6">
      <c r="A260" s="3022">
        <v>177</v>
      </c>
      <c r="B260" s="3022" t="s">
        <v>3386</v>
      </c>
      <c r="C260" s="3022" t="s">
        <v>3388</v>
      </c>
      <c r="D260" s="3022">
        <v>2122</v>
      </c>
      <c r="E260" s="3022">
        <v>54.08</v>
      </c>
      <c r="F260" s="3022" t="s">
        <v>3390</v>
      </c>
    </row>
    <row r="261" spans="1:6">
      <c r="A261" s="3022">
        <v>178</v>
      </c>
      <c r="B261" s="3022" t="s">
        <v>3386</v>
      </c>
      <c r="C261" s="3022" t="s">
        <v>3388</v>
      </c>
      <c r="D261" s="3022">
        <v>2123</v>
      </c>
      <c r="E261" s="3022">
        <v>58.14</v>
      </c>
      <c r="F261" s="3022" t="s">
        <v>3390</v>
      </c>
    </row>
    <row r="262" spans="1:6">
      <c r="A262" s="3022">
        <v>179</v>
      </c>
      <c r="B262" s="3022" t="s">
        <v>3386</v>
      </c>
      <c r="C262" s="3022" t="s">
        <v>3388</v>
      </c>
      <c r="D262" s="3022">
        <v>2124</v>
      </c>
      <c r="E262" s="3022">
        <v>55.63</v>
      </c>
      <c r="F262" s="3022" t="s">
        <v>3390</v>
      </c>
    </row>
    <row r="263" spans="1:6">
      <c r="A263" s="3022">
        <v>180</v>
      </c>
      <c r="B263" s="3022" t="s">
        <v>3386</v>
      </c>
      <c r="C263" s="3022" t="s">
        <v>3388</v>
      </c>
      <c r="D263" s="3022">
        <v>2125</v>
      </c>
      <c r="E263" s="3022">
        <v>48.54</v>
      </c>
      <c r="F263" s="3022" t="s">
        <v>3390</v>
      </c>
    </row>
    <row r="264" spans="1:6">
      <c r="A264" s="3022">
        <v>181</v>
      </c>
      <c r="B264" s="3022" t="s">
        <v>3386</v>
      </c>
      <c r="C264" s="3022" t="s">
        <v>3388</v>
      </c>
      <c r="D264" s="3022">
        <v>2126</v>
      </c>
      <c r="E264" s="3022">
        <v>48.64</v>
      </c>
      <c r="F264" s="3022" t="s">
        <v>3390</v>
      </c>
    </row>
    <row r="265" spans="1:6">
      <c r="A265" s="3022">
        <v>182</v>
      </c>
      <c r="B265" s="3022" t="s">
        <v>3386</v>
      </c>
      <c r="C265" s="3022" t="s">
        <v>3388</v>
      </c>
      <c r="D265" s="3022">
        <v>2127</v>
      </c>
      <c r="E265" s="3022">
        <v>55.71</v>
      </c>
      <c r="F265" s="3022" t="s">
        <v>3390</v>
      </c>
    </row>
    <row r="266" spans="1:6">
      <c r="A266" s="3022">
        <v>183</v>
      </c>
      <c r="B266" s="3022" t="s">
        <v>3386</v>
      </c>
      <c r="C266" s="3022" t="s">
        <v>3388</v>
      </c>
      <c r="D266" s="3022">
        <v>2128</v>
      </c>
      <c r="E266" s="3022">
        <v>330.9</v>
      </c>
      <c r="F266" s="3022" t="s">
        <v>3390</v>
      </c>
    </row>
    <row r="267" spans="1:6">
      <c r="A267" s="3022">
        <v>184</v>
      </c>
      <c r="B267" s="3022" t="s">
        <v>3386</v>
      </c>
      <c r="C267" s="3022" t="s">
        <v>3388</v>
      </c>
      <c r="D267" s="3022">
        <v>2129</v>
      </c>
      <c r="E267" s="3022">
        <v>255.71</v>
      </c>
      <c r="F267" s="3022" t="s">
        <v>3390</v>
      </c>
    </row>
    <row r="268" spans="1:6">
      <c r="A268" s="3022">
        <v>185</v>
      </c>
      <c r="B268" s="3022" t="s">
        <v>3386</v>
      </c>
      <c r="C268" s="3022" t="s">
        <v>3388</v>
      </c>
      <c r="D268" s="3022">
        <v>2130</v>
      </c>
      <c r="E268" s="3022">
        <v>172.61</v>
      </c>
      <c r="F268" s="3022" t="s">
        <v>3390</v>
      </c>
    </row>
    <row r="269" spans="1:6">
      <c r="A269" s="3022">
        <v>186</v>
      </c>
      <c r="B269" s="3022" t="s">
        <v>3386</v>
      </c>
      <c r="C269" s="3022" t="s">
        <v>3388</v>
      </c>
      <c r="D269" s="3022">
        <v>2131</v>
      </c>
      <c r="E269" s="3022">
        <v>127.81</v>
      </c>
      <c r="F269" s="3022" t="s">
        <v>3390</v>
      </c>
    </row>
    <row r="270" spans="1:6">
      <c r="A270" s="3022">
        <v>187</v>
      </c>
      <c r="B270" s="3022" t="s">
        <v>3386</v>
      </c>
      <c r="C270" s="3022" t="s">
        <v>3388</v>
      </c>
      <c r="D270" s="3022">
        <v>2132</v>
      </c>
      <c r="E270" s="3022">
        <v>245.4</v>
      </c>
      <c r="F270" s="3022" t="s">
        <v>3390</v>
      </c>
    </row>
    <row r="271" spans="1:6">
      <c r="A271" s="3022">
        <v>188</v>
      </c>
      <c r="B271" s="3022" t="s">
        <v>3386</v>
      </c>
      <c r="C271" s="3022" t="s">
        <v>3388</v>
      </c>
      <c r="D271" s="3022">
        <v>2133</v>
      </c>
      <c r="E271" s="3022">
        <v>115.82</v>
      </c>
      <c r="F271" s="3022" t="s">
        <v>3390</v>
      </c>
    </row>
    <row r="272" spans="1:6">
      <c r="A272" s="3022">
        <v>189</v>
      </c>
      <c r="B272" s="3022" t="s">
        <v>3386</v>
      </c>
      <c r="C272" s="3022" t="s">
        <v>3388</v>
      </c>
      <c r="D272" s="3022">
        <v>2134</v>
      </c>
      <c r="E272" s="3022">
        <v>112.64</v>
      </c>
      <c r="F272" s="3022" t="s">
        <v>3390</v>
      </c>
    </row>
    <row r="273" spans="1:6">
      <c r="A273" s="3022">
        <v>190</v>
      </c>
      <c r="B273" s="3022" t="s">
        <v>3386</v>
      </c>
      <c r="C273" s="3022" t="s">
        <v>3388</v>
      </c>
      <c r="D273" s="3022">
        <v>2201</v>
      </c>
      <c r="E273" s="3022">
        <v>43.56</v>
      </c>
      <c r="F273" s="3022" t="s">
        <v>3390</v>
      </c>
    </row>
    <row r="274" spans="1:6">
      <c r="A274" s="3022">
        <v>191</v>
      </c>
      <c r="B274" s="3022" t="s">
        <v>3386</v>
      </c>
      <c r="C274" s="3022" t="s">
        <v>3388</v>
      </c>
      <c r="D274" s="3022">
        <v>2202</v>
      </c>
      <c r="E274" s="3022">
        <v>47.97</v>
      </c>
      <c r="F274" s="3022" t="s">
        <v>3390</v>
      </c>
    </row>
    <row r="275" spans="1:6">
      <c r="A275" s="3022">
        <v>192</v>
      </c>
      <c r="B275" s="3022" t="s">
        <v>3386</v>
      </c>
      <c r="C275" s="3022" t="s">
        <v>3388</v>
      </c>
      <c r="D275" s="3022">
        <v>2203</v>
      </c>
      <c r="E275" s="3022">
        <v>47.97</v>
      </c>
      <c r="F275" s="3022" t="s">
        <v>3390</v>
      </c>
    </row>
    <row r="276" spans="1:6">
      <c r="A276" s="3022">
        <v>193</v>
      </c>
      <c r="B276" s="3022" t="s">
        <v>3386</v>
      </c>
      <c r="C276" s="3022" t="s">
        <v>3388</v>
      </c>
      <c r="D276" s="3022">
        <v>2204</v>
      </c>
      <c r="E276" s="3022">
        <v>47.97</v>
      </c>
      <c r="F276" s="3022" t="s">
        <v>3390</v>
      </c>
    </row>
    <row r="277" spans="1:6">
      <c r="A277" s="3022">
        <v>194</v>
      </c>
      <c r="B277" s="3022" t="s">
        <v>3386</v>
      </c>
      <c r="C277" s="3022" t="s">
        <v>3388</v>
      </c>
      <c r="D277" s="3022">
        <v>2205</v>
      </c>
      <c r="E277" s="3022">
        <v>47.97</v>
      </c>
      <c r="F277" s="3022" t="s">
        <v>3390</v>
      </c>
    </row>
    <row r="278" spans="1:6">
      <c r="A278" s="3022">
        <v>195</v>
      </c>
      <c r="B278" s="3022" t="s">
        <v>3386</v>
      </c>
      <c r="C278" s="3022" t="s">
        <v>3388</v>
      </c>
      <c r="D278" s="3022">
        <v>2206</v>
      </c>
      <c r="E278" s="3022">
        <v>47.97</v>
      </c>
      <c r="F278" s="3022" t="s">
        <v>3390</v>
      </c>
    </row>
    <row r="279" spans="1:6">
      <c r="A279" s="3022">
        <v>196</v>
      </c>
      <c r="B279" s="3022" t="s">
        <v>3386</v>
      </c>
      <c r="C279" s="3022" t="s">
        <v>3388</v>
      </c>
      <c r="D279" s="3022">
        <v>2207</v>
      </c>
      <c r="E279" s="3022">
        <v>47.97</v>
      </c>
      <c r="F279" s="3022" t="s">
        <v>3390</v>
      </c>
    </row>
    <row r="280" spans="1:6">
      <c r="A280" s="3022">
        <v>197</v>
      </c>
      <c r="B280" s="3022" t="s">
        <v>3386</v>
      </c>
      <c r="C280" s="3022" t="s">
        <v>3388</v>
      </c>
      <c r="D280" s="3022">
        <v>2208</v>
      </c>
      <c r="E280" s="3022">
        <v>47.97</v>
      </c>
      <c r="F280" s="3022" t="s">
        <v>3390</v>
      </c>
    </row>
    <row r="281" spans="1:6">
      <c r="A281" s="3022">
        <v>198</v>
      </c>
      <c r="B281" s="3022" t="s">
        <v>3386</v>
      </c>
      <c r="C281" s="3022" t="s">
        <v>3388</v>
      </c>
      <c r="D281" s="3022">
        <v>2209</v>
      </c>
      <c r="E281" s="3022">
        <v>47.97</v>
      </c>
      <c r="F281" s="3022" t="s">
        <v>3390</v>
      </c>
    </row>
    <row r="282" spans="1:6">
      <c r="A282" s="3022">
        <v>199</v>
      </c>
      <c r="B282" s="3022" t="s">
        <v>3386</v>
      </c>
      <c r="C282" s="3022" t="s">
        <v>3388</v>
      </c>
      <c r="D282" s="3022">
        <v>2210</v>
      </c>
      <c r="E282" s="3022">
        <v>47.97</v>
      </c>
      <c r="F282" s="3022" t="s">
        <v>3390</v>
      </c>
    </row>
    <row r="283" spans="1:6">
      <c r="A283" s="3022">
        <v>200</v>
      </c>
      <c r="B283" s="3022" t="s">
        <v>3386</v>
      </c>
      <c r="C283" s="3022" t="s">
        <v>3388</v>
      </c>
      <c r="D283" s="3022">
        <v>2211</v>
      </c>
      <c r="E283" s="3022">
        <v>47.97</v>
      </c>
      <c r="F283" s="3022" t="s">
        <v>3390</v>
      </c>
    </row>
    <row r="284" spans="1:6">
      <c r="A284" s="3022">
        <v>201</v>
      </c>
      <c r="B284" s="3022" t="s">
        <v>3386</v>
      </c>
      <c r="C284" s="3022" t="s">
        <v>3388</v>
      </c>
      <c r="D284" s="3022">
        <v>2212</v>
      </c>
      <c r="E284" s="3022">
        <v>47.97</v>
      </c>
      <c r="F284" s="3022" t="s">
        <v>3390</v>
      </c>
    </row>
    <row r="285" spans="1:6">
      <c r="A285" s="3022">
        <v>202</v>
      </c>
      <c r="B285" s="3022" t="s">
        <v>3386</v>
      </c>
      <c r="C285" s="3022" t="s">
        <v>3388</v>
      </c>
      <c r="D285" s="3022">
        <v>2213</v>
      </c>
      <c r="E285" s="3022">
        <v>47.97</v>
      </c>
      <c r="F285" s="3022" t="s">
        <v>3390</v>
      </c>
    </row>
    <row r="286" spans="1:6">
      <c r="A286" s="3022">
        <v>203</v>
      </c>
      <c r="B286" s="3022" t="s">
        <v>3386</v>
      </c>
      <c r="C286" s="3022" t="s">
        <v>3388</v>
      </c>
      <c r="D286" s="3022">
        <v>2214</v>
      </c>
      <c r="E286" s="3022">
        <v>47.97</v>
      </c>
      <c r="F286" s="3022" t="s">
        <v>3390</v>
      </c>
    </row>
    <row r="287" spans="1:6">
      <c r="A287" s="3022">
        <v>204</v>
      </c>
      <c r="B287" s="3022" t="s">
        <v>3386</v>
      </c>
      <c r="C287" s="3022" t="s">
        <v>3388</v>
      </c>
      <c r="D287" s="3022">
        <v>2215</v>
      </c>
      <c r="E287" s="3022">
        <v>47.97</v>
      </c>
      <c r="F287" s="3022" t="s">
        <v>3390</v>
      </c>
    </row>
    <row r="288" spans="1:6">
      <c r="A288" s="3022">
        <v>205</v>
      </c>
      <c r="B288" s="3022" t="s">
        <v>3386</v>
      </c>
      <c r="C288" s="3022" t="s">
        <v>3388</v>
      </c>
      <c r="D288" s="3022">
        <v>2216</v>
      </c>
      <c r="E288" s="3022">
        <v>39.54</v>
      </c>
      <c r="F288" s="3022" t="s">
        <v>3390</v>
      </c>
    </row>
    <row r="289" spans="1:6">
      <c r="A289" s="3022">
        <v>206</v>
      </c>
      <c r="B289" s="3022" t="s">
        <v>3386</v>
      </c>
      <c r="C289" s="3022" t="s">
        <v>3388</v>
      </c>
      <c r="D289" s="3022">
        <v>2217</v>
      </c>
      <c r="E289" s="3022">
        <v>56.7</v>
      </c>
      <c r="F289" s="3022" t="s">
        <v>3390</v>
      </c>
    </row>
    <row r="290" spans="1:6">
      <c r="A290" s="3022">
        <v>207</v>
      </c>
      <c r="B290" s="3022" t="s">
        <v>3386</v>
      </c>
      <c r="C290" s="3022" t="s">
        <v>3388</v>
      </c>
      <c r="D290" s="3022">
        <v>2218</v>
      </c>
      <c r="E290" s="3022">
        <v>54.08</v>
      </c>
      <c r="F290" s="3022" t="s">
        <v>3390</v>
      </c>
    </row>
    <row r="291" spans="1:6">
      <c r="A291" s="3022">
        <v>208</v>
      </c>
      <c r="B291" s="3022" t="s">
        <v>3386</v>
      </c>
      <c r="C291" s="3022" t="s">
        <v>3388</v>
      </c>
      <c r="D291" s="3022">
        <v>2219</v>
      </c>
      <c r="E291" s="3022">
        <v>54.08</v>
      </c>
      <c r="F291" s="3022" t="s">
        <v>3390</v>
      </c>
    </row>
    <row r="292" spans="1:6">
      <c r="A292" s="3022">
        <v>209</v>
      </c>
      <c r="B292" s="3022" t="s">
        <v>3386</v>
      </c>
      <c r="C292" s="3022" t="s">
        <v>3388</v>
      </c>
      <c r="D292" s="3022">
        <v>2220</v>
      </c>
      <c r="E292" s="3022">
        <v>54.08</v>
      </c>
      <c r="F292" s="3022" t="s">
        <v>3390</v>
      </c>
    </row>
    <row r="293" spans="1:6">
      <c r="A293" s="3022">
        <v>210</v>
      </c>
      <c r="B293" s="3022" t="s">
        <v>3386</v>
      </c>
      <c r="C293" s="3022" t="s">
        <v>3388</v>
      </c>
      <c r="D293" s="3022">
        <v>2221</v>
      </c>
      <c r="E293" s="3022">
        <v>54.08</v>
      </c>
      <c r="F293" s="3022" t="s">
        <v>3390</v>
      </c>
    </row>
    <row r="294" spans="1:6">
      <c r="A294" s="3022">
        <v>211</v>
      </c>
      <c r="B294" s="3022" t="s">
        <v>3386</v>
      </c>
      <c r="C294" s="3022" t="s">
        <v>3388</v>
      </c>
      <c r="D294" s="3022">
        <v>2222</v>
      </c>
      <c r="E294" s="3022">
        <v>54.08</v>
      </c>
      <c r="F294" s="3022" t="s">
        <v>3390</v>
      </c>
    </row>
    <row r="295" spans="1:6">
      <c r="A295" s="3022">
        <v>212</v>
      </c>
      <c r="B295" s="3022" t="s">
        <v>3386</v>
      </c>
      <c r="C295" s="3022" t="s">
        <v>3388</v>
      </c>
      <c r="D295" s="3022">
        <v>2223</v>
      </c>
      <c r="E295" s="3022">
        <v>58.14</v>
      </c>
      <c r="F295" s="3022" t="s">
        <v>3390</v>
      </c>
    </row>
    <row r="296" spans="1:6">
      <c r="A296" s="3022">
        <v>213</v>
      </c>
      <c r="B296" s="3022" t="s">
        <v>3386</v>
      </c>
      <c r="C296" s="3022" t="s">
        <v>3388</v>
      </c>
      <c r="D296" s="3022">
        <v>2224</v>
      </c>
      <c r="E296" s="3022">
        <v>55.63</v>
      </c>
      <c r="F296" s="3022" t="s">
        <v>3390</v>
      </c>
    </row>
    <row r="297" spans="1:6">
      <c r="A297" s="3022">
        <v>214</v>
      </c>
      <c r="B297" s="3022" t="s">
        <v>3386</v>
      </c>
      <c r="C297" s="3022" t="s">
        <v>3388</v>
      </c>
      <c r="D297" s="3022">
        <v>2225</v>
      </c>
      <c r="E297" s="3022">
        <v>48.54</v>
      </c>
      <c r="F297" s="3022" t="s">
        <v>3390</v>
      </c>
    </row>
    <row r="298" spans="1:6">
      <c r="A298" s="3022">
        <v>215</v>
      </c>
      <c r="B298" s="3022" t="s">
        <v>3386</v>
      </c>
      <c r="C298" s="3022" t="s">
        <v>3388</v>
      </c>
      <c r="D298" s="3022">
        <v>2226</v>
      </c>
      <c r="E298" s="3022">
        <v>48.64</v>
      </c>
      <c r="F298" s="3022" t="s">
        <v>3390</v>
      </c>
    </row>
    <row r="299" spans="1:6">
      <c r="A299" s="3022">
        <v>216</v>
      </c>
      <c r="B299" s="3022" t="s">
        <v>3386</v>
      </c>
      <c r="C299" s="3022" t="s">
        <v>3388</v>
      </c>
      <c r="D299" s="3022">
        <v>2227</v>
      </c>
      <c r="E299" s="3022">
        <v>55.71</v>
      </c>
      <c r="F299" s="3022" t="s">
        <v>3390</v>
      </c>
    </row>
    <row r="300" spans="1:6">
      <c r="A300" s="3022">
        <v>217</v>
      </c>
      <c r="B300" s="3022" t="s">
        <v>3386</v>
      </c>
      <c r="C300" s="3022" t="s">
        <v>3388</v>
      </c>
      <c r="D300" s="3022">
        <v>2228</v>
      </c>
      <c r="E300" s="3022">
        <v>330.9</v>
      </c>
      <c r="F300" s="3022" t="s">
        <v>3390</v>
      </c>
    </row>
    <row r="301" spans="1:6">
      <c r="A301" s="3022">
        <v>218</v>
      </c>
      <c r="B301" s="3022" t="s">
        <v>3386</v>
      </c>
      <c r="C301" s="3022" t="s">
        <v>3388</v>
      </c>
      <c r="D301" s="3022">
        <v>2229</v>
      </c>
      <c r="E301" s="3022">
        <v>255.71</v>
      </c>
      <c r="F301" s="3022" t="s">
        <v>3390</v>
      </c>
    </row>
    <row r="302" spans="1:6">
      <c r="A302" s="3022">
        <v>219</v>
      </c>
      <c r="B302" s="3022" t="s">
        <v>3386</v>
      </c>
      <c r="C302" s="3022" t="s">
        <v>3388</v>
      </c>
      <c r="D302" s="3022">
        <v>2230</v>
      </c>
      <c r="E302" s="3022">
        <v>172.61</v>
      </c>
      <c r="F302" s="3022" t="s">
        <v>3390</v>
      </c>
    </row>
    <row r="303" spans="1:6">
      <c r="A303" s="3022">
        <v>220</v>
      </c>
      <c r="B303" s="3022" t="s">
        <v>3386</v>
      </c>
      <c r="C303" s="3022" t="s">
        <v>3388</v>
      </c>
      <c r="D303" s="3022">
        <v>2231</v>
      </c>
      <c r="E303" s="3022">
        <v>127.81</v>
      </c>
      <c r="F303" s="3022" t="s">
        <v>3390</v>
      </c>
    </row>
    <row r="304" spans="1:6">
      <c r="A304" s="3022">
        <v>221</v>
      </c>
      <c r="B304" s="3022" t="s">
        <v>3386</v>
      </c>
      <c r="C304" s="3022" t="s">
        <v>3388</v>
      </c>
      <c r="D304" s="3022">
        <v>2232</v>
      </c>
      <c r="E304" s="3022">
        <v>245.4</v>
      </c>
      <c r="F304" s="3022" t="s">
        <v>3390</v>
      </c>
    </row>
    <row r="305" spans="1:6">
      <c r="A305" s="3022">
        <v>222</v>
      </c>
      <c r="B305" s="3022" t="s">
        <v>3386</v>
      </c>
      <c r="C305" s="3022" t="s">
        <v>3388</v>
      </c>
      <c r="D305" s="3022">
        <v>2233</v>
      </c>
      <c r="E305" s="3022">
        <v>115.82</v>
      </c>
      <c r="F305" s="3022" t="s">
        <v>3390</v>
      </c>
    </row>
    <row r="306" spans="1:6">
      <c r="A306" s="3022">
        <v>223</v>
      </c>
      <c r="B306" s="3022" t="s">
        <v>3386</v>
      </c>
      <c r="C306" s="3022" t="s">
        <v>3388</v>
      </c>
      <c r="D306" s="3022">
        <v>2234</v>
      </c>
      <c r="E306" s="3022">
        <v>112.64</v>
      </c>
      <c r="F306" s="3022" t="s">
        <v>3390</v>
      </c>
    </row>
    <row r="307" spans="1:6">
      <c r="A307" s="3022">
        <v>224</v>
      </c>
      <c r="B307" s="3022" t="s">
        <v>3386</v>
      </c>
      <c r="C307" s="3022" t="s">
        <v>3388</v>
      </c>
      <c r="D307" s="3022">
        <v>2301</v>
      </c>
      <c r="E307" s="3022">
        <v>43.56</v>
      </c>
      <c r="F307" s="3022" t="s">
        <v>3390</v>
      </c>
    </row>
    <row r="308" spans="1:6">
      <c r="A308" s="3022">
        <v>225</v>
      </c>
      <c r="B308" s="3022" t="s">
        <v>3386</v>
      </c>
      <c r="C308" s="3022" t="s">
        <v>3388</v>
      </c>
      <c r="D308" s="3022">
        <v>2302</v>
      </c>
      <c r="E308" s="3022">
        <v>47.97</v>
      </c>
      <c r="F308" s="3022" t="s">
        <v>3390</v>
      </c>
    </row>
    <row r="309" spans="1:6">
      <c r="A309" s="3022">
        <v>226</v>
      </c>
      <c r="B309" s="3022" t="s">
        <v>3386</v>
      </c>
      <c r="C309" s="3022" t="s">
        <v>3388</v>
      </c>
      <c r="D309" s="3022">
        <v>2303</v>
      </c>
      <c r="E309" s="3022">
        <v>47.97</v>
      </c>
      <c r="F309" s="3022" t="s">
        <v>3390</v>
      </c>
    </row>
    <row r="310" spans="1:6">
      <c r="A310" s="3022">
        <v>227</v>
      </c>
      <c r="B310" s="3022" t="s">
        <v>3386</v>
      </c>
      <c r="C310" s="3022" t="s">
        <v>3388</v>
      </c>
      <c r="D310" s="3022">
        <v>2304</v>
      </c>
      <c r="E310" s="3022">
        <v>47.97</v>
      </c>
      <c r="F310" s="3022" t="s">
        <v>3390</v>
      </c>
    </row>
    <row r="311" spans="1:6">
      <c r="A311" s="3022">
        <v>228</v>
      </c>
      <c r="B311" s="3022" t="s">
        <v>3386</v>
      </c>
      <c r="C311" s="3022" t="s">
        <v>3388</v>
      </c>
      <c r="D311" s="3022">
        <v>2305</v>
      </c>
      <c r="E311" s="3022">
        <v>47.97</v>
      </c>
      <c r="F311" s="3022" t="s">
        <v>3390</v>
      </c>
    </row>
    <row r="312" spans="1:6">
      <c r="A312" s="3022">
        <v>229</v>
      </c>
      <c r="B312" s="3022" t="s">
        <v>3386</v>
      </c>
      <c r="C312" s="3022" t="s">
        <v>3388</v>
      </c>
      <c r="D312" s="3022">
        <v>2306</v>
      </c>
      <c r="E312" s="3022">
        <v>47.97</v>
      </c>
      <c r="F312" s="3022" t="s">
        <v>3390</v>
      </c>
    </row>
    <row r="313" spans="1:6">
      <c r="A313" s="3022">
        <v>230</v>
      </c>
      <c r="B313" s="3022" t="s">
        <v>3386</v>
      </c>
      <c r="C313" s="3022" t="s">
        <v>3388</v>
      </c>
      <c r="D313" s="3022">
        <v>2307</v>
      </c>
      <c r="E313" s="3022">
        <v>47.97</v>
      </c>
      <c r="F313" s="3022" t="s">
        <v>3390</v>
      </c>
    </row>
    <row r="314" spans="1:6">
      <c r="A314" s="3022">
        <v>231</v>
      </c>
      <c r="B314" s="3022" t="s">
        <v>3386</v>
      </c>
      <c r="C314" s="3022" t="s">
        <v>3388</v>
      </c>
      <c r="D314" s="3022">
        <v>2308</v>
      </c>
      <c r="E314" s="3022">
        <v>47.97</v>
      </c>
      <c r="F314" s="3022" t="s">
        <v>3390</v>
      </c>
    </row>
    <row r="315" spans="1:6">
      <c r="A315" s="3022">
        <v>232</v>
      </c>
      <c r="B315" s="3022" t="s">
        <v>3386</v>
      </c>
      <c r="C315" s="3022" t="s">
        <v>3388</v>
      </c>
      <c r="D315" s="3022">
        <v>2309</v>
      </c>
      <c r="E315" s="3022">
        <v>47.97</v>
      </c>
      <c r="F315" s="3022" t="s">
        <v>3390</v>
      </c>
    </row>
    <row r="316" spans="1:6">
      <c r="A316" s="3022">
        <v>233</v>
      </c>
      <c r="B316" s="3022" t="s">
        <v>3386</v>
      </c>
      <c r="C316" s="3022" t="s">
        <v>3388</v>
      </c>
      <c r="D316" s="3022">
        <v>2310</v>
      </c>
      <c r="E316" s="3022">
        <v>47.97</v>
      </c>
      <c r="F316" s="3022" t="s">
        <v>3390</v>
      </c>
    </row>
    <row r="317" spans="1:6">
      <c r="A317" s="3022">
        <v>234</v>
      </c>
      <c r="B317" s="3022" t="s">
        <v>3386</v>
      </c>
      <c r="C317" s="3022" t="s">
        <v>3388</v>
      </c>
      <c r="D317" s="3022">
        <v>2311</v>
      </c>
      <c r="E317" s="3022">
        <v>47.97</v>
      </c>
      <c r="F317" s="3022" t="s">
        <v>3390</v>
      </c>
    </row>
    <row r="318" spans="1:6">
      <c r="A318" s="3022">
        <v>235</v>
      </c>
      <c r="B318" s="3022" t="s">
        <v>3386</v>
      </c>
      <c r="C318" s="3022" t="s">
        <v>3388</v>
      </c>
      <c r="D318" s="3022">
        <v>2312</v>
      </c>
      <c r="E318" s="3022">
        <v>47.97</v>
      </c>
      <c r="F318" s="3022" t="s">
        <v>3390</v>
      </c>
    </row>
    <row r="319" spans="1:6">
      <c r="A319" s="3022">
        <v>236</v>
      </c>
      <c r="B319" s="3022" t="s">
        <v>3386</v>
      </c>
      <c r="C319" s="3022" t="s">
        <v>3388</v>
      </c>
      <c r="D319" s="3022">
        <v>2313</v>
      </c>
      <c r="E319" s="3022">
        <v>47.97</v>
      </c>
      <c r="F319" s="3022" t="s">
        <v>3390</v>
      </c>
    </row>
    <row r="320" spans="1:6">
      <c r="A320" s="3022">
        <v>237</v>
      </c>
      <c r="B320" s="3022" t="s">
        <v>3386</v>
      </c>
      <c r="C320" s="3022" t="s">
        <v>3388</v>
      </c>
      <c r="D320" s="3022">
        <v>2314</v>
      </c>
      <c r="E320" s="3022">
        <v>47.97</v>
      </c>
      <c r="F320" s="3022" t="s">
        <v>3390</v>
      </c>
    </row>
    <row r="321" spans="1:6">
      <c r="A321" s="3022">
        <v>238</v>
      </c>
      <c r="B321" s="3022" t="s">
        <v>3386</v>
      </c>
      <c r="C321" s="3022" t="s">
        <v>3388</v>
      </c>
      <c r="D321" s="3022">
        <v>2315</v>
      </c>
      <c r="E321" s="3022">
        <v>47.97</v>
      </c>
      <c r="F321" s="3022" t="s">
        <v>3390</v>
      </c>
    </row>
    <row r="322" spans="1:6">
      <c r="A322" s="3022">
        <v>239</v>
      </c>
      <c r="B322" s="3022" t="s">
        <v>3386</v>
      </c>
      <c r="C322" s="3022" t="s">
        <v>3388</v>
      </c>
      <c r="D322" s="3022">
        <v>2316</v>
      </c>
      <c r="E322" s="3022">
        <v>39.54</v>
      </c>
      <c r="F322" s="3022" t="s">
        <v>3390</v>
      </c>
    </row>
    <row r="323" spans="1:6">
      <c r="A323" s="3022">
        <v>240</v>
      </c>
      <c r="B323" s="3022" t="s">
        <v>3386</v>
      </c>
      <c r="C323" s="3022" t="s">
        <v>3388</v>
      </c>
      <c r="D323" s="3022">
        <v>2317</v>
      </c>
      <c r="E323" s="3022">
        <v>56.7</v>
      </c>
      <c r="F323" s="3022" t="s">
        <v>3390</v>
      </c>
    </row>
    <row r="324" spans="1:6">
      <c r="A324" s="3022">
        <v>241</v>
      </c>
      <c r="B324" s="3022" t="s">
        <v>3386</v>
      </c>
      <c r="C324" s="3022" t="s">
        <v>3388</v>
      </c>
      <c r="D324" s="3022">
        <v>2318</v>
      </c>
      <c r="E324" s="3022">
        <v>54.08</v>
      </c>
      <c r="F324" s="3022" t="s">
        <v>3390</v>
      </c>
    </row>
    <row r="325" spans="1:6">
      <c r="A325" s="3022">
        <v>242</v>
      </c>
      <c r="B325" s="3022" t="s">
        <v>3386</v>
      </c>
      <c r="C325" s="3022" t="s">
        <v>3388</v>
      </c>
      <c r="D325" s="3022">
        <v>2319</v>
      </c>
      <c r="E325" s="3022">
        <v>54.08</v>
      </c>
      <c r="F325" s="3022" t="s">
        <v>3390</v>
      </c>
    </row>
    <row r="326" spans="1:6">
      <c r="A326" s="3022">
        <v>243</v>
      </c>
      <c r="B326" s="3022" t="s">
        <v>3386</v>
      </c>
      <c r="C326" s="3022" t="s">
        <v>3388</v>
      </c>
      <c r="D326" s="3022">
        <v>2320</v>
      </c>
      <c r="E326" s="3022">
        <v>54.08</v>
      </c>
      <c r="F326" s="3022" t="s">
        <v>3390</v>
      </c>
    </row>
    <row r="327" spans="1:6">
      <c r="A327" s="3022">
        <v>244</v>
      </c>
      <c r="B327" s="3022" t="s">
        <v>3386</v>
      </c>
      <c r="C327" s="3022" t="s">
        <v>3388</v>
      </c>
      <c r="D327" s="3022">
        <v>2321</v>
      </c>
      <c r="E327" s="3022">
        <v>54.08</v>
      </c>
      <c r="F327" s="3022" t="s">
        <v>3390</v>
      </c>
    </row>
    <row r="328" spans="1:6">
      <c r="A328" s="3022">
        <v>245</v>
      </c>
      <c r="B328" s="3022" t="s">
        <v>3386</v>
      </c>
      <c r="C328" s="3022" t="s">
        <v>3388</v>
      </c>
      <c r="D328" s="3022">
        <v>2322</v>
      </c>
      <c r="E328" s="3022">
        <v>54.08</v>
      </c>
      <c r="F328" s="3022" t="s">
        <v>3390</v>
      </c>
    </row>
    <row r="329" spans="1:6">
      <c r="A329" s="3022">
        <v>246</v>
      </c>
      <c r="B329" s="3022" t="s">
        <v>3386</v>
      </c>
      <c r="C329" s="3022" t="s">
        <v>3388</v>
      </c>
      <c r="D329" s="3022">
        <v>2323</v>
      </c>
      <c r="E329" s="3022">
        <v>58.14</v>
      </c>
      <c r="F329" s="3022" t="s">
        <v>3390</v>
      </c>
    </row>
    <row r="330" spans="1:6">
      <c r="A330" s="3022">
        <v>247</v>
      </c>
      <c r="B330" s="3022" t="s">
        <v>3386</v>
      </c>
      <c r="C330" s="3022" t="s">
        <v>3388</v>
      </c>
      <c r="D330" s="3022">
        <v>2324</v>
      </c>
      <c r="E330" s="3022">
        <v>55.63</v>
      </c>
      <c r="F330" s="3022" t="s">
        <v>3390</v>
      </c>
    </row>
    <row r="331" spans="1:6">
      <c r="A331" s="3022">
        <v>248</v>
      </c>
      <c r="B331" s="3022" t="s">
        <v>3386</v>
      </c>
      <c r="C331" s="3022" t="s">
        <v>3388</v>
      </c>
      <c r="D331" s="3022">
        <v>2325</v>
      </c>
      <c r="E331" s="3022">
        <v>48.54</v>
      </c>
      <c r="F331" s="3022" t="s">
        <v>3390</v>
      </c>
    </row>
    <row r="332" spans="1:6">
      <c r="A332" s="3022">
        <v>249</v>
      </c>
      <c r="B332" s="3022" t="s">
        <v>3386</v>
      </c>
      <c r="C332" s="3022" t="s">
        <v>3388</v>
      </c>
      <c r="D332" s="3022">
        <v>2326</v>
      </c>
      <c r="E332" s="3022">
        <v>48.64</v>
      </c>
      <c r="F332" s="3022" t="s">
        <v>3390</v>
      </c>
    </row>
    <row r="333" spans="1:6">
      <c r="A333" s="3022">
        <v>250</v>
      </c>
      <c r="B333" s="3022" t="s">
        <v>3386</v>
      </c>
      <c r="C333" s="3022" t="s">
        <v>3388</v>
      </c>
      <c r="D333" s="3022">
        <v>2327</v>
      </c>
      <c r="E333" s="3022">
        <v>55.71</v>
      </c>
      <c r="F333" s="3022" t="s">
        <v>3390</v>
      </c>
    </row>
    <row r="334" spans="1:6">
      <c r="A334" s="3022">
        <v>251</v>
      </c>
      <c r="B334" s="3022" t="s">
        <v>3386</v>
      </c>
      <c r="C334" s="3022" t="s">
        <v>3388</v>
      </c>
      <c r="D334" s="3022">
        <v>2328</v>
      </c>
      <c r="E334" s="3022">
        <v>330.9</v>
      </c>
      <c r="F334" s="3022" t="s">
        <v>3390</v>
      </c>
    </row>
    <row r="335" spans="1:6">
      <c r="A335" s="3022">
        <v>252</v>
      </c>
      <c r="B335" s="3022" t="s">
        <v>3386</v>
      </c>
      <c r="C335" s="3022" t="s">
        <v>3388</v>
      </c>
      <c r="D335" s="3022">
        <v>2329</v>
      </c>
      <c r="E335" s="3022">
        <v>255.71</v>
      </c>
      <c r="F335" s="3022" t="s">
        <v>3390</v>
      </c>
    </row>
    <row r="336" spans="1:6">
      <c r="A336" s="3022">
        <v>253</v>
      </c>
      <c r="B336" s="3022" t="s">
        <v>3386</v>
      </c>
      <c r="C336" s="3022" t="s">
        <v>3388</v>
      </c>
      <c r="D336" s="3022">
        <v>2330</v>
      </c>
      <c r="E336" s="3022">
        <v>172.61</v>
      </c>
      <c r="F336" s="3022" t="s">
        <v>3390</v>
      </c>
    </row>
    <row r="337" spans="1:6">
      <c r="A337" s="3022">
        <v>254</v>
      </c>
      <c r="B337" s="3022" t="s">
        <v>3386</v>
      </c>
      <c r="C337" s="3022" t="s">
        <v>3388</v>
      </c>
      <c r="D337" s="3022">
        <v>2331</v>
      </c>
      <c r="E337" s="3022">
        <v>127.81</v>
      </c>
      <c r="F337" s="3022" t="s">
        <v>3390</v>
      </c>
    </row>
    <row r="338" spans="1:6">
      <c r="A338" s="3022">
        <v>255</v>
      </c>
      <c r="B338" s="3022" t="s">
        <v>3386</v>
      </c>
      <c r="C338" s="3022" t="s">
        <v>3388</v>
      </c>
      <c r="D338" s="3022">
        <v>2332</v>
      </c>
      <c r="E338" s="3022">
        <v>245.4</v>
      </c>
      <c r="F338" s="3022" t="s">
        <v>3390</v>
      </c>
    </row>
    <row r="339" spans="1:6">
      <c r="A339" s="3022">
        <v>256</v>
      </c>
      <c r="B339" s="3022" t="s">
        <v>3386</v>
      </c>
      <c r="C339" s="3022" t="s">
        <v>3388</v>
      </c>
      <c r="D339" s="3022">
        <v>2333</v>
      </c>
      <c r="E339" s="3022">
        <v>115.82</v>
      </c>
      <c r="F339" s="3022" t="s">
        <v>3390</v>
      </c>
    </row>
    <row r="340" spans="1:6">
      <c r="A340" s="3022">
        <v>257</v>
      </c>
      <c r="B340" s="3022" t="s">
        <v>3386</v>
      </c>
      <c r="C340" s="3022" t="s">
        <v>3388</v>
      </c>
      <c r="D340" s="3022">
        <v>2334</v>
      </c>
      <c r="E340" s="3022">
        <v>112.64</v>
      </c>
      <c r="F340" s="3022" t="s">
        <v>3390</v>
      </c>
    </row>
    <row r="341" spans="1:6">
      <c r="A341" s="3022">
        <v>258</v>
      </c>
      <c r="B341" s="3022" t="s">
        <v>3386</v>
      </c>
      <c r="C341" s="3022" t="s">
        <v>3388</v>
      </c>
      <c r="D341" s="3022">
        <v>2401</v>
      </c>
      <c r="E341" s="3022">
        <v>43.56</v>
      </c>
      <c r="F341" s="3022" t="s">
        <v>3390</v>
      </c>
    </row>
    <row r="342" spans="1:6">
      <c r="A342" s="3022">
        <v>259</v>
      </c>
      <c r="B342" s="3022" t="s">
        <v>3386</v>
      </c>
      <c r="C342" s="3022" t="s">
        <v>3388</v>
      </c>
      <c r="D342" s="3022">
        <v>2402</v>
      </c>
      <c r="E342" s="3022">
        <v>47.97</v>
      </c>
      <c r="F342" s="3022" t="s">
        <v>3390</v>
      </c>
    </row>
    <row r="343" spans="1:6">
      <c r="A343" s="3022">
        <v>260</v>
      </c>
      <c r="B343" s="3022" t="s">
        <v>3386</v>
      </c>
      <c r="C343" s="3022" t="s">
        <v>3388</v>
      </c>
      <c r="D343" s="3022">
        <v>2403</v>
      </c>
      <c r="E343" s="3022">
        <v>47.97</v>
      </c>
      <c r="F343" s="3022" t="s">
        <v>3390</v>
      </c>
    </row>
    <row r="344" spans="1:6">
      <c r="A344" s="3022">
        <v>261</v>
      </c>
      <c r="B344" s="3022" t="s">
        <v>3386</v>
      </c>
      <c r="C344" s="3022" t="s">
        <v>3388</v>
      </c>
      <c r="D344" s="3022">
        <v>2404</v>
      </c>
      <c r="E344" s="3022">
        <v>47.97</v>
      </c>
      <c r="F344" s="3022" t="s">
        <v>3390</v>
      </c>
    </row>
    <row r="345" spans="1:6">
      <c r="A345" s="3022">
        <v>262</v>
      </c>
      <c r="B345" s="3022" t="s">
        <v>3386</v>
      </c>
      <c r="C345" s="3022" t="s">
        <v>3388</v>
      </c>
      <c r="D345" s="3022">
        <v>2405</v>
      </c>
      <c r="E345" s="3022">
        <v>47.97</v>
      </c>
      <c r="F345" s="3022" t="s">
        <v>3390</v>
      </c>
    </row>
    <row r="346" spans="1:6">
      <c r="A346" s="3022">
        <v>263</v>
      </c>
      <c r="B346" s="3022" t="s">
        <v>3386</v>
      </c>
      <c r="C346" s="3022" t="s">
        <v>3388</v>
      </c>
      <c r="D346" s="3022">
        <v>2406</v>
      </c>
      <c r="E346" s="3022">
        <v>47.97</v>
      </c>
      <c r="F346" s="3022" t="s">
        <v>3390</v>
      </c>
    </row>
    <row r="347" spans="1:6">
      <c r="A347" s="3022">
        <v>264</v>
      </c>
      <c r="B347" s="3022" t="s">
        <v>3386</v>
      </c>
      <c r="C347" s="3022" t="s">
        <v>3388</v>
      </c>
      <c r="D347" s="3022">
        <v>2407</v>
      </c>
      <c r="E347" s="3022">
        <v>47.97</v>
      </c>
      <c r="F347" s="3022" t="s">
        <v>3390</v>
      </c>
    </row>
    <row r="348" spans="1:6">
      <c r="A348" s="3022">
        <v>265</v>
      </c>
      <c r="B348" s="3022" t="s">
        <v>3386</v>
      </c>
      <c r="C348" s="3022" t="s">
        <v>3388</v>
      </c>
      <c r="D348" s="3022">
        <v>2408</v>
      </c>
      <c r="E348" s="3022">
        <v>47.97</v>
      </c>
      <c r="F348" s="3022" t="s">
        <v>3390</v>
      </c>
    </row>
    <row r="349" spans="1:6">
      <c r="A349" s="3022">
        <v>266</v>
      </c>
      <c r="B349" s="3022" t="s">
        <v>3386</v>
      </c>
      <c r="C349" s="3022" t="s">
        <v>3388</v>
      </c>
      <c r="D349" s="3022">
        <v>2409</v>
      </c>
      <c r="E349" s="3022">
        <v>47.97</v>
      </c>
      <c r="F349" s="3022" t="s">
        <v>3390</v>
      </c>
    </row>
    <row r="350" spans="1:6">
      <c r="A350" s="3022">
        <v>267</v>
      </c>
      <c r="B350" s="3022" t="s">
        <v>3386</v>
      </c>
      <c r="C350" s="3022" t="s">
        <v>3388</v>
      </c>
      <c r="D350" s="3022">
        <v>2410</v>
      </c>
      <c r="E350" s="3022">
        <v>47.97</v>
      </c>
      <c r="F350" s="3022" t="s">
        <v>3390</v>
      </c>
    </row>
    <row r="351" spans="1:6">
      <c r="A351" s="3022">
        <v>268</v>
      </c>
      <c r="B351" s="3022" t="s">
        <v>3386</v>
      </c>
      <c r="C351" s="3022" t="s">
        <v>3388</v>
      </c>
      <c r="D351" s="3022">
        <v>2411</v>
      </c>
      <c r="E351" s="3022">
        <v>47.97</v>
      </c>
      <c r="F351" s="3022" t="s">
        <v>3390</v>
      </c>
    </row>
    <row r="352" spans="1:6">
      <c r="A352" s="3022">
        <v>269</v>
      </c>
      <c r="B352" s="3022" t="s">
        <v>3386</v>
      </c>
      <c r="C352" s="3022" t="s">
        <v>3388</v>
      </c>
      <c r="D352" s="3022">
        <v>2412</v>
      </c>
      <c r="E352" s="3022">
        <v>47.97</v>
      </c>
      <c r="F352" s="3022" t="s">
        <v>3390</v>
      </c>
    </row>
    <row r="353" spans="1:6">
      <c r="A353" s="3022">
        <v>270</v>
      </c>
      <c r="B353" s="3022" t="s">
        <v>3386</v>
      </c>
      <c r="C353" s="3022" t="s">
        <v>3388</v>
      </c>
      <c r="D353" s="3022">
        <v>2413</v>
      </c>
      <c r="E353" s="3022">
        <v>47.97</v>
      </c>
      <c r="F353" s="3022" t="s">
        <v>3390</v>
      </c>
    </row>
    <row r="354" spans="1:6">
      <c r="A354" s="3022">
        <v>271</v>
      </c>
      <c r="B354" s="3022" t="s">
        <v>3386</v>
      </c>
      <c r="C354" s="3022" t="s">
        <v>3388</v>
      </c>
      <c r="D354" s="3022">
        <v>2414</v>
      </c>
      <c r="E354" s="3022">
        <v>47.97</v>
      </c>
      <c r="F354" s="3022" t="s">
        <v>3390</v>
      </c>
    </row>
    <row r="355" spans="1:6">
      <c r="A355" s="3022">
        <v>272</v>
      </c>
      <c r="B355" s="3022" t="s">
        <v>3386</v>
      </c>
      <c r="C355" s="3022" t="s">
        <v>3388</v>
      </c>
      <c r="D355" s="3022">
        <v>2415</v>
      </c>
      <c r="E355" s="3022">
        <v>47.97</v>
      </c>
      <c r="F355" s="3022" t="s">
        <v>3390</v>
      </c>
    </row>
    <row r="356" spans="1:6">
      <c r="A356" s="3022">
        <v>273</v>
      </c>
      <c r="B356" s="3022" t="s">
        <v>3386</v>
      </c>
      <c r="C356" s="3022" t="s">
        <v>3388</v>
      </c>
      <c r="D356" s="3022">
        <v>2416</v>
      </c>
      <c r="E356" s="3022">
        <v>39.54</v>
      </c>
      <c r="F356" s="3022" t="s">
        <v>3390</v>
      </c>
    </row>
    <row r="357" spans="1:6">
      <c r="A357" s="3022">
        <v>274</v>
      </c>
      <c r="B357" s="3022" t="s">
        <v>3386</v>
      </c>
      <c r="C357" s="3022" t="s">
        <v>3388</v>
      </c>
      <c r="D357" s="3022">
        <v>2417</v>
      </c>
      <c r="E357" s="3022">
        <v>56.7</v>
      </c>
      <c r="F357" s="3022" t="s">
        <v>3390</v>
      </c>
    </row>
    <row r="358" spans="1:6">
      <c r="A358" s="3022">
        <v>275</v>
      </c>
      <c r="B358" s="3022" t="s">
        <v>3386</v>
      </c>
      <c r="C358" s="3022" t="s">
        <v>3388</v>
      </c>
      <c r="D358" s="3022">
        <v>2418</v>
      </c>
      <c r="E358" s="3022">
        <v>54.08</v>
      </c>
      <c r="F358" s="3022" t="s">
        <v>3390</v>
      </c>
    </row>
    <row r="359" spans="1:6">
      <c r="A359" s="3022">
        <v>276</v>
      </c>
      <c r="B359" s="3022" t="s">
        <v>3386</v>
      </c>
      <c r="C359" s="3022" t="s">
        <v>3388</v>
      </c>
      <c r="D359" s="3022">
        <v>2419</v>
      </c>
      <c r="E359" s="3022">
        <v>54.08</v>
      </c>
      <c r="F359" s="3022" t="s">
        <v>3390</v>
      </c>
    </row>
    <row r="360" spans="1:6">
      <c r="A360" s="3022">
        <v>277</v>
      </c>
      <c r="B360" s="3022" t="s">
        <v>3386</v>
      </c>
      <c r="C360" s="3022" t="s">
        <v>3388</v>
      </c>
      <c r="D360" s="3022">
        <v>2420</v>
      </c>
      <c r="E360" s="3022">
        <v>54.08</v>
      </c>
      <c r="F360" s="3022" t="s">
        <v>3390</v>
      </c>
    </row>
    <row r="361" spans="1:6">
      <c r="A361" s="3022">
        <v>278</v>
      </c>
      <c r="B361" s="3022" t="s">
        <v>3386</v>
      </c>
      <c r="C361" s="3022" t="s">
        <v>3388</v>
      </c>
      <c r="D361" s="3022">
        <v>2421</v>
      </c>
      <c r="E361" s="3022">
        <v>54.08</v>
      </c>
      <c r="F361" s="3022" t="s">
        <v>3390</v>
      </c>
    </row>
    <row r="362" spans="1:6">
      <c r="A362" s="3022">
        <v>279</v>
      </c>
      <c r="B362" s="3022" t="s">
        <v>3386</v>
      </c>
      <c r="C362" s="3022" t="s">
        <v>3388</v>
      </c>
      <c r="D362" s="3022">
        <v>2422</v>
      </c>
      <c r="E362" s="3022">
        <v>54.08</v>
      </c>
      <c r="F362" s="3022" t="s">
        <v>3390</v>
      </c>
    </row>
    <row r="363" spans="1:6">
      <c r="A363" s="3022">
        <v>280</v>
      </c>
      <c r="B363" s="3022" t="s">
        <v>3386</v>
      </c>
      <c r="C363" s="3022" t="s">
        <v>3388</v>
      </c>
      <c r="D363" s="3022">
        <v>2423</v>
      </c>
      <c r="E363" s="3022">
        <v>58.14</v>
      </c>
      <c r="F363" s="3022" t="s">
        <v>3390</v>
      </c>
    </row>
    <row r="364" spans="1:6">
      <c r="A364" s="3022">
        <v>281</v>
      </c>
      <c r="B364" s="3022" t="s">
        <v>3386</v>
      </c>
      <c r="C364" s="3022" t="s">
        <v>3388</v>
      </c>
      <c r="D364" s="3022">
        <v>2424</v>
      </c>
      <c r="E364" s="3022">
        <v>55.63</v>
      </c>
      <c r="F364" s="3022" t="s">
        <v>3390</v>
      </c>
    </row>
    <row r="365" spans="1:6">
      <c r="A365" s="3022">
        <v>282</v>
      </c>
      <c r="B365" s="3022" t="s">
        <v>3386</v>
      </c>
      <c r="C365" s="3022" t="s">
        <v>3388</v>
      </c>
      <c r="D365" s="3022">
        <v>2425</v>
      </c>
      <c r="E365" s="3022">
        <v>48.54</v>
      </c>
      <c r="F365" s="3022" t="s">
        <v>3390</v>
      </c>
    </row>
    <row r="366" spans="1:6">
      <c r="A366" s="3022">
        <v>283</v>
      </c>
      <c r="B366" s="3022" t="s">
        <v>3386</v>
      </c>
      <c r="C366" s="3022" t="s">
        <v>3388</v>
      </c>
      <c r="D366" s="3022">
        <v>2426</v>
      </c>
      <c r="E366" s="3022">
        <v>48.64</v>
      </c>
      <c r="F366" s="3022" t="s">
        <v>3390</v>
      </c>
    </row>
    <row r="367" spans="1:6">
      <c r="A367" s="3022">
        <v>284</v>
      </c>
      <c r="B367" s="3022" t="s">
        <v>3386</v>
      </c>
      <c r="C367" s="3022" t="s">
        <v>3388</v>
      </c>
      <c r="D367" s="3022">
        <v>2427</v>
      </c>
      <c r="E367" s="3022">
        <v>55.71</v>
      </c>
      <c r="F367" s="3022" t="s">
        <v>3390</v>
      </c>
    </row>
    <row r="368" spans="1:6">
      <c r="A368" s="3022">
        <v>285</v>
      </c>
      <c r="B368" s="3022" t="s">
        <v>3386</v>
      </c>
      <c r="C368" s="3022" t="s">
        <v>3388</v>
      </c>
      <c r="D368" s="3022">
        <v>2428</v>
      </c>
      <c r="E368" s="3022">
        <v>330.9</v>
      </c>
      <c r="F368" s="3022" t="s">
        <v>3390</v>
      </c>
    </row>
    <row r="369" spans="1:6">
      <c r="A369" s="3022">
        <v>286</v>
      </c>
      <c r="B369" s="3022" t="s">
        <v>3386</v>
      </c>
      <c r="C369" s="3022" t="s">
        <v>3388</v>
      </c>
      <c r="D369" s="3022">
        <v>2429</v>
      </c>
      <c r="E369" s="3022">
        <v>255.71</v>
      </c>
      <c r="F369" s="3022" t="s">
        <v>3390</v>
      </c>
    </row>
    <row r="370" spans="1:6">
      <c r="A370" s="3022">
        <v>287</v>
      </c>
      <c r="B370" s="3022" t="s">
        <v>3386</v>
      </c>
      <c r="C370" s="3022" t="s">
        <v>3388</v>
      </c>
      <c r="D370" s="3022">
        <v>2430</v>
      </c>
      <c r="E370" s="3022">
        <v>172.61</v>
      </c>
      <c r="F370" s="3022" t="s">
        <v>3390</v>
      </c>
    </row>
    <row r="371" spans="1:6">
      <c r="A371" s="3022">
        <v>288</v>
      </c>
      <c r="B371" s="3022" t="s">
        <v>3386</v>
      </c>
      <c r="C371" s="3022" t="s">
        <v>3388</v>
      </c>
      <c r="D371" s="3022">
        <v>2431</v>
      </c>
      <c r="E371" s="3022">
        <v>127.81</v>
      </c>
      <c r="F371" s="3022" t="s">
        <v>3390</v>
      </c>
    </row>
    <row r="372" spans="1:6">
      <c r="A372" s="3022">
        <v>289</v>
      </c>
      <c r="B372" s="3022" t="s">
        <v>3386</v>
      </c>
      <c r="C372" s="3022" t="s">
        <v>3388</v>
      </c>
      <c r="D372" s="3022">
        <v>2432</v>
      </c>
      <c r="E372" s="3022">
        <v>245.4</v>
      </c>
      <c r="F372" s="3022" t="s">
        <v>3390</v>
      </c>
    </row>
    <row r="373" spans="1:6">
      <c r="A373" s="3022">
        <v>290</v>
      </c>
      <c r="B373" s="3022" t="s">
        <v>3386</v>
      </c>
      <c r="C373" s="3022" t="s">
        <v>3388</v>
      </c>
      <c r="D373" s="3022">
        <v>2433</v>
      </c>
      <c r="E373" s="3022">
        <v>115.82</v>
      </c>
      <c r="F373" s="3022" t="s">
        <v>3390</v>
      </c>
    </row>
    <row r="374" spans="1:6">
      <c r="A374" s="3022">
        <v>291</v>
      </c>
      <c r="B374" s="3022" t="s">
        <v>3386</v>
      </c>
      <c r="C374" s="3022" t="s">
        <v>3388</v>
      </c>
      <c r="D374" s="3022">
        <v>2434</v>
      </c>
      <c r="E374" s="3022">
        <v>112.64</v>
      </c>
      <c r="F374" s="3022" t="s">
        <v>3390</v>
      </c>
    </row>
    <row r="375" spans="1:6">
      <c r="A375" s="3022">
        <v>292</v>
      </c>
      <c r="B375" s="3022" t="s">
        <v>3386</v>
      </c>
      <c r="C375" s="3022" t="s">
        <v>3388</v>
      </c>
      <c r="D375" s="3022">
        <v>2501</v>
      </c>
      <c r="E375" s="3022">
        <v>43.56</v>
      </c>
      <c r="F375" s="3022" t="s">
        <v>3390</v>
      </c>
    </row>
    <row r="376" spans="1:6">
      <c r="A376" s="3022">
        <v>293</v>
      </c>
      <c r="B376" s="3022" t="s">
        <v>3386</v>
      </c>
      <c r="C376" s="3022" t="s">
        <v>3388</v>
      </c>
      <c r="D376" s="3022">
        <v>2502</v>
      </c>
      <c r="E376" s="3022">
        <v>47.97</v>
      </c>
      <c r="F376" s="3022" t="s">
        <v>3390</v>
      </c>
    </row>
    <row r="377" spans="1:6">
      <c r="A377" s="3022">
        <v>294</v>
      </c>
      <c r="B377" s="3022" t="s">
        <v>3386</v>
      </c>
      <c r="C377" s="3022" t="s">
        <v>3388</v>
      </c>
      <c r="D377" s="3022">
        <v>2503</v>
      </c>
      <c r="E377" s="3022">
        <v>47.97</v>
      </c>
      <c r="F377" s="3022" t="s">
        <v>3390</v>
      </c>
    </row>
    <row r="378" spans="1:6">
      <c r="A378" s="3022">
        <v>295</v>
      </c>
      <c r="B378" s="3022" t="s">
        <v>3386</v>
      </c>
      <c r="C378" s="3022" t="s">
        <v>3388</v>
      </c>
      <c r="D378" s="3022">
        <v>2504</v>
      </c>
      <c r="E378" s="3022">
        <v>47.97</v>
      </c>
      <c r="F378" s="3022" t="s">
        <v>3390</v>
      </c>
    </row>
    <row r="379" spans="1:6">
      <c r="A379" s="3022">
        <v>296</v>
      </c>
      <c r="B379" s="3022" t="s">
        <v>3386</v>
      </c>
      <c r="C379" s="3022" t="s">
        <v>3388</v>
      </c>
      <c r="D379" s="3022">
        <v>2505</v>
      </c>
      <c r="E379" s="3022">
        <v>47.97</v>
      </c>
      <c r="F379" s="3022" t="s">
        <v>3390</v>
      </c>
    </row>
    <row r="380" spans="1:6">
      <c r="A380" s="3022">
        <v>297</v>
      </c>
      <c r="B380" s="3022" t="s">
        <v>3386</v>
      </c>
      <c r="C380" s="3022" t="s">
        <v>3388</v>
      </c>
      <c r="D380" s="3022">
        <v>2506</v>
      </c>
      <c r="E380" s="3022">
        <v>47.97</v>
      </c>
      <c r="F380" s="3022" t="s">
        <v>3390</v>
      </c>
    </row>
    <row r="381" spans="1:6">
      <c r="A381" s="3022">
        <v>298</v>
      </c>
      <c r="B381" s="3022" t="s">
        <v>3386</v>
      </c>
      <c r="C381" s="3022" t="s">
        <v>3388</v>
      </c>
      <c r="D381" s="3022">
        <v>2507</v>
      </c>
      <c r="E381" s="3022">
        <v>47.97</v>
      </c>
      <c r="F381" s="3022" t="s">
        <v>3390</v>
      </c>
    </row>
    <row r="382" spans="1:6">
      <c r="A382" s="3022">
        <v>299</v>
      </c>
      <c r="B382" s="3022" t="s">
        <v>3386</v>
      </c>
      <c r="C382" s="3022" t="s">
        <v>3388</v>
      </c>
      <c r="D382" s="3022">
        <v>2508</v>
      </c>
      <c r="E382" s="3022">
        <v>47.97</v>
      </c>
      <c r="F382" s="3022" t="s">
        <v>3390</v>
      </c>
    </row>
    <row r="383" spans="1:6">
      <c r="A383" s="3022">
        <v>300</v>
      </c>
      <c r="B383" s="3022" t="s">
        <v>3386</v>
      </c>
      <c r="C383" s="3022" t="s">
        <v>3388</v>
      </c>
      <c r="D383" s="3022">
        <v>2509</v>
      </c>
      <c r="E383" s="3022">
        <v>47.97</v>
      </c>
      <c r="F383" s="3022" t="s">
        <v>3390</v>
      </c>
    </row>
    <row r="384" spans="1:6">
      <c r="A384" s="3022">
        <v>301</v>
      </c>
      <c r="B384" s="3022" t="s">
        <v>3386</v>
      </c>
      <c r="C384" s="3022" t="s">
        <v>3388</v>
      </c>
      <c r="D384" s="3022">
        <v>2510</v>
      </c>
      <c r="E384" s="3022">
        <v>47.97</v>
      </c>
      <c r="F384" s="3022" t="s">
        <v>3390</v>
      </c>
    </row>
    <row r="385" spans="1:6">
      <c r="A385" s="3022">
        <v>302</v>
      </c>
      <c r="B385" s="3022" t="s">
        <v>3386</v>
      </c>
      <c r="C385" s="3022" t="s">
        <v>3388</v>
      </c>
      <c r="D385" s="3022">
        <v>2511</v>
      </c>
      <c r="E385" s="3022">
        <v>47.97</v>
      </c>
      <c r="F385" s="3022" t="s">
        <v>3390</v>
      </c>
    </row>
    <row r="386" spans="1:6">
      <c r="A386" s="3022">
        <v>303</v>
      </c>
      <c r="B386" s="3022" t="s">
        <v>3386</v>
      </c>
      <c r="C386" s="3022" t="s">
        <v>3388</v>
      </c>
      <c r="D386" s="3022">
        <v>2512</v>
      </c>
      <c r="E386" s="3022">
        <v>47.97</v>
      </c>
      <c r="F386" s="3022" t="s">
        <v>3390</v>
      </c>
    </row>
    <row r="387" spans="1:6">
      <c r="A387" s="3022">
        <v>304</v>
      </c>
      <c r="B387" s="3022" t="s">
        <v>3386</v>
      </c>
      <c r="C387" s="3022" t="s">
        <v>3388</v>
      </c>
      <c r="D387" s="3022">
        <v>2513</v>
      </c>
      <c r="E387" s="3022">
        <v>47.97</v>
      </c>
      <c r="F387" s="3022" t="s">
        <v>3390</v>
      </c>
    </row>
    <row r="388" spans="1:6">
      <c r="A388" s="3022">
        <v>305</v>
      </c>
      <c r="B388" s="3022" t="s">
        <v>3386</v>
      </c>
      <c r="C388" s="3022" t="s">
        <v>3388</v>
      </c>
      <c r="D388" s="3022">
        <v>2514</v>
      </c>
      <c r="E388" s="3022">
        <v>47.97</v>
      </c>
      <c r="F388" s="3022" t="s">
        <v>3390</v>
      </c>
    </row>
    <row r="389" spans="1:6">
      <c r="A389" s="3022">
        <v>306</v>
      </c>
      <c r="B389" s="3022" t="s">
        <v>3386</v>
      </c>
      <c r="C389" s="3022" t="s">
        <v>3388</v>
      </c>
      <c r="D389" s="3022">
        <v>2515</v>
      </c>
      <c r="E389" s="3022">
        <v>47.97</v>
      </c>
      <c r="F389" s="3022" t="s">
        <v>3390</v>
      </c>
    </row>
    <row r="390" spans="1:6">
      <c r="A390" s="3022">
        <v>307</v>
      </c>
      <c r="B390" s="3022" t="s">
        <v>3386</v>
      </c>
      <c r="C390" s="3022" t="s">
        <v>3388</v>
      </c>
      <c r="D390" s="3022">
        <v>2516</v>
      </c>
      <c r="E390" s="3022">
        <v>39.54</v>
      </c>
      <c r="F390" s="3022" t="s">
        <v>3390</v>
      </c>
    </row>
    <row r="391" spans="1:6">
      <c r="A391" s="3022">
        <v>308</v>
      </c>
      <c r="B391" s="3022" t="s">
        <v>3386</v>
      </c>
      <c r="C391" s="3022" t="s">
        <v>3388</v>
      </c>
      <c r="D391" s="3022">
        <v>2517</v>
      </c>
      <c r="E391" s="3022">
        <v>56.7</v>
      </c>
      <c r="F391" s="3022" t="s">
        <v>3390</v>
      </c>
    </row>
    <row r="392" spans="1:6">
      <c r="A392" s="3022">
        <v>309</v>
      </c>
      <c r="B392" s="3022" t="s">
        <v>3386</v>
      </c>
      <c r="C392" s="3022" t="s">
        <v>3388</v>
      </c>
      <c r="D392" s="3022">
        <v>2518</v>
      </c>
      <c r="E392" s="3022">
        <v>54.08</v>
      </c>
      <c r="F392" s="3022" t="s">
        <v>3390</v>
      </c>
    </row>
    <row r="393" spans="1:6">
      <c r="A393" s="3022">
        <v>310</v>
      </c>
      <c r="B393" s="3022" t="s">
        <v>3386</v>
      </c>
      <c r="C393" s="3022" t="s">
        <v>3388</v>
      </c>
      <c r="D393" s="3022">
        <v>2519</v>
      </c>
      <c r="E393" s="3022">
        <v>54.08</v>
      </c>
      <c r="F393" s="3022" t="s">
        <v>3390</v>
      </c>
    </row>
    <row r="394" spans="1:6">
      <c r="A394" s="3022">
        <v>311</v>
      </c>
      <c r="B394" s="3022" t="s">
        <v>3386</v>
      </c>
      <c r="C394" s="3022" t="s">
        <v>3388</v>
      </c>
      <c r="D394" s="3022">
        <v>2520</v>
      </c>
      <c r="E394" s="3022">
        <v>54.08</v>
      </c>
      <c r="F394" s="3022" t="s">
        <v>3390</v>
      </c>
    </row>
    <row r="395" spans="1:6">
      <c r="A395" s="3022">
        <v>312</v>
      </c>
      <c r="B395" s="3022" t="s">
        <v>3386</v>
      </c>
      <c r="C395" s="3022" t="s">
        <v>3388</v>
      </c>
      <c r="D395" s="3022">
        <v>2521</v>
      </c>
      <c r="E395" s="3022">
        <v>54.08</v>
      </c>
      <c r="F395" s="3022" t="s">
        <v>3390</v>
      </c>
    </row>
    <row r="396" spans="1:6">
      <c r="A396" s="3022">
        <v>313</v>
      </c>
      <c r="B396" s="3022" t="s">
        <v>3386</v>
      </c>
      <c r="C396" s="3022" t="s">
        <v>3388</v>
      </c>
      <c r="D396" s="3022">
        <v>2522</v>
      </c>
      <c r="E396" s="3022">
        <v>54.08</v>
      </c>
      <c r="F396" s="3022" t="s">
        <v>3390</v>
      </c>
    </row>
    <row r="397" spans="1:6">
      <c r="A397" s="3022">
        <v>314</v>
      </c>
      <c r="B397" s="3022" t="s">
        <v>3386</v>
      </c>
      <c r="C397" s="3022" t="s">
        <v>3388</v>
      </c>
      <c r="D397" s="3022">
        <v>2523</v>
      </c>
      <c r="E397" s="3022">
        <v>58.14</v>
      </c>
      <c r="F397" s="3022" t="s">
        <v>3390</v>
      </c>
    </row>
    <row r="398" spans="1:6">
      <c r="A398" s="3022">
        <v>315</v>
      </c>
      <c r="B398" s="3022" t="s">
        <v>3386</v>
      </c>
      <c r="C398" s="3022" t="s">
        <v>3388</v>
      </c>
      <c r="D398" s="3022">
        <v>2524</v>
      </c>
      <c r="E398" s="3022">
        <v>55.63</v>
      </c>
      <c r="F398" s="3022" t="s">
        <v>3390</v>
      </c>
    </row>
    <row r="399" spans="1:6">
      <c r="A399" s="3022">
        <v>316</v>
      </c>
      <c r="B399" s="3022" t="s">
        <v>3386</v>
      </c>
      <c r="C399" s="3022" t="s">
        <v>3388</v>
      </c>
      <c r="D399" s="3022">
        <v>2525</v>
      </c>
      <c r="E399" s="3022">
        <v>48.54</v>
      </c>
      <c r="F399" s="3022" t="s">
        <v>3390</v>
      </c>
    </row>
    <row r="400" spans="1:6">
      <c r="A400" s="3022">
        <v>317</v>
      </c>
      <c r="B400" s="3022" t="s">
        <v>3386</v>
      </c>
      <c r="C400" s="3022" t="s">
        <v>3388</v>
      </c>
      <c r="D400" s="3022">
        <v>2526</v>
      </c>
      <c r="E400" s="3022">
        <v>48.64</v>
      </c>
      <c r="F400" s="3022" t="s">
        <v>3390</v>
      </c>
    </row>
    <row r="401" spans="1:6">
      <c r="A401" s="3022">
        <v>318</v>
      </c>
      <c r="B401" s="3022" t="s">
        <v>3386</v>
      </c>
      <c r="C401" s="3022" t="s">
        <v>3388</v>
      </c>
      <c r="D401" s="3022">
        <v>2527</v>
      </c>
      <c r="E401" s="3022">
        <v>55.71</v>
      </c>
      <c r="F401" s="3022" t="s">
        <v>3390</v>
      </c>
    </row>
    <row r="402" spans="1:6">
      <c r="A402" s="3022">
        <v>319</v>
      </c>
      <c r="B402" s="3022" t="s">
        <v>3386</v>
      </c>
      <c r="C402" s="3022" t="s">
        <v>3388</v>
      </c>
      <c r="D402" s="3022">
        <v>2528</v>
      </c>
      <c r="E402" s="3022">
        <v>330.9</v>
      </c>
      <c r="F402" s="3022" t="s">
        <v>3390</v>
      </c>
    </row>
    <row r="403" spans="1:6">
      <c r="A403" s="3022">
        <v>320</v>
      </c>
      <c r="B403" s="3022" t="s">
        <v>3386</v>
      </c>
      <c r="C403" s="3022" t="s">
        <v>3388</v>
      </c>
      <c r="D403" s="3022">
        <v>2529</v>
      </c>
      <c r="E403" s="3022">
        <v>255.71</v>
      </c>
      <c r="F403" s="3022" t="s">
        <v>3390</v>
      </c>
    </row>
    <row r="404" spans="1:6">
      <c r="A404" s="3022">
        <v>321</v>
      </c>
      <c r="B404" s="3022" t="s">
        <v>3386</v>
      </c>
      <c r="C404" s="3022" t="s">
        <v>3388</v>
      </c>
      <c r="D404" s="3022">
        <v>2530</v>
      </c>
      <c r="E404" s="3022">
        <v>172.61</v>
      </c>
      <c r="F404" s="3022" t="s">
        <v>3390</v>
      </c>
    </row>
    <row r="405" spans="1:6">
      <c r="A405" s="3022">
        <v>322</v>
      </c>
      <c r="B405" s="3022" t="s">
        <v>3386</v>
      </c>
      <c r="C405" s="3022" t="s">
        <v>3388</v>
      </c>
      <c r="D405" s="3022">
        <v>2531</v>
      </c>
      <c r="E405" s="3022">
        <v>127.81</v>
      </c>
      <c r="F405" s="3022" t="s">
        <v>3390</v>
      </c>
    </row>
    <row r="406" spans="1:6">
      <c r="A406" s="3022">
        <v>323</v>
      </c>
      <c r="B406" s="3022" t="s">
        <v>3386</v>
      </c>
      <c r="C406" s="3022" t="s">
        <v>3388</v>
      </c>
      <c r="D406" s="3022">
        <v>2532</v>
      </c>
      <c r="E406" s="3022">
        <v>245.4</v>
      </c>
      <c r="F406" s="3022" t="s">
        <v>3390</v>
      </c>
    </row>
    <row r="407" spans="1:6">
      <c r="A407" s="3022">
        <v>324</v>
      </c>
      <c r="B407" s="3022" t="s">
        <v>3386</v>
      </c>
      <c r="C407" s="3022" t="s">
        <v>3388</v>
      </c>
      <c r="D407" s="3022">
        <v>2533</v>
      </c>
      <c r="E407" s="3022">
        <v>115.82</v>
      </c>
      <c r="F407" s="3022" t="s">
        <v>3390</v>
      </c>
    </row>
    <row r="408" spans="1:6">
      <c r="A408" s="3022">
        <v>325</v>
      </c>
      <c r="B408" s="3022" t="s">
        <v>3386</v>
      </c>
      <c r="C408" s="3022" t="s">
        <v>3388</v>
      </c>
      <c r="D408" s="3022">
        <v>2534</v>
      </c>
      <c r="E408" s="3022">
        <v>112.64</v>
      </c>
      <c r="F408" s="3022" t="s">
        <v>3390</v>
      </c>
    </row>
    <row r="409" spans="1:6">
      <c r="A409" s="3022">
        <v>326</v>
      </c>
      <c r="B409" s="3022" t="s">
        <v>3386</v>
      </c>
      <c r="C409" s="3022" t="s">
        <v>3391</v>
      </c>
      <c r="D409" s="3022">
        <v>2201</v>
      </c>
      <c r="E409" s="3022">
        <v>68.05</v>
      </c>
      <c r="F409" s="3022" t="s">
        <v>3390</v>
      </c>
    </row>
    <row r="410" spans="1:6">
      <c r="A410" s="3022">
        <v>327</v>
      </c>
      <c r="B410" s="3022" t="s">
        <v>3386</v>
      </c>
      <c r="C410" s="3023" t="s">
        <v>3391</v>
      </c>
      <c r="D410" s="3022">
        <v>2202</v>
      </c>
      <c r="E410" s="3022">
        <v>47.59</v>
      </c>
      <c r="F410" s="3022" t="s">
        <v>3390</v>
      </c>
    </row>
    <row r="411" spans="1:6">
      <c r="A411" s="3022">
        <v>328</v>
      </c>
      <c r="B411" s="3022" t="s">
        <v>3386</v>
      </c>
      <c r="C411" s="3022" t="s">
        <v>3082</v>
      </c>
      <c r="D411" s="3022">
        <v>2203</v>
      </c>
      <c r="E411" s="3022">
        <v>52.4</v>
      </c>
      <c r="F411" s="3022" t="s">
        <v>3390</v>
      </c>
    </row>
    <row r="412" spans="1:6">
      <c r="A412" s="3022">
        <v>329</v>
      </c>
      <c r="B412" s="3022" t="s">
        <v>3386</v>
      </c>
      <c r="C412" s="3023" t="s">
        <v>3082</v>
      </c>
      <c r="D412" s="3022">
        <v>2204</v>
      </c>
      <c r="E412" s="3022">
        <v>56.57</v>
      </c>
      <c r="F412" s="3022" t="s">
        <v>3390</v>
      </c>
    </row>
    <row r="413" spans="1:6">
      <c r="A413" s="3022">
        <v>330</v>
      </c>
      <c r="B413" s="3022" t="s">
        <v>3386</v>
      </c>
      <c r="C413" s="3022" t="s">
        <v>3082</v>
      </c>
      <c r="D413" s="3022">
        <v>2205</v>
      </c>
      <c r="E413" s="3022">
        <v>59.91</v>
      </c>
      <c r="F413" s="3022" t="s">
        <v>3390</v>
      </c>
    </row>
    <row r="414" spans="1:6">
      <c r="A414" s="3022">
        <v>331</v>
      </c>
      <c r="B414" s="3022" t="s">
        <v>3386</v>
      </c>
      <c r="C414" s="3023" t="s">
        <v>3082</v>
      </c>
      <c r="D414" s="3022">
        <v>2206</v>
      </c>
      <c r="E414" s="3022">
        <v>61.66</v>
      </c>
      <c r="F414" s="3022" t="s">
        <v>3390</v>
      </c>
    </row>
    <row r="415" spans="1:6">
      <c r="A415" s="3022">
        <v>332</v>
      </c>
      <c r="B415" s="3022" t="s">
        <v>3386</v>
      </c>
      <c r="C415" s="3022" t="s">
        <v>3082</v>
      </c>
      <c r="D415" s="3022">
        <v>2207</v>
      </c>
      <c r="E415" s="3022">
        <v>61.94</v>
      </c>
      <c r="F415" s="3022" t="s">
        <v>3390</v>
      </c>
    </row>
    <row r="416" spans="1:6">
      <c r="A416" s="3022">
        <v>333</v>
      </c>
      <c r="B416" s="3022" t="s">
        <v>3386</v>
      </c>
      <c r="C416" s="3023" t="s">
        <v>3082</v>
      </c>
      <c r="D416" s="3022">
        <v>2208</v>
      </c>
      <c r="E416" s="3022">
        <v>61.98</v>
      </c>
      <c r="F416" s="3022" t="s">
        <v>3390</v>
      </c>
    </row>
    <row r="417" spans="1:6">
      <c r="A417" s="3022">
        <v>334</v>
      </c>
      <c r="B417" s="3022" t="s">
        <v>3386</v>
      </c>
      <c r="C417" s="3022" t="s">
        <v>3082</v>
      </c>
      <c r="D417" s="3022">
        <v>2209</v>
      </c>
      <c r="E417" s="3022">
        <v>62.31</v>
      </c>
      <c r="F417" s="3022" t="s">
        <v>3390</v>
      </c>
    </row>
    <row r="418" spans="1:6">
      <c r="A418" s="3022">
        <v>335</v>
      </c>
      <c r="B418" s="3022" t="s">
        <v>3386</v>
      </c>
      <c r="C418" s="3023" t="s">
        <v>3082</v>
      </c>
      <c r="D418" s="3022">
        <v>2210</v>
      </c>
      <c r="E418" s="3022">
        <v>63</v>
      </c>
      <c r="F418" s="3022" t="s">
        <v>3390</v>
      </c>
    </row>
    <row r="419" spans="1:6">
      <c r="A419" s="3022">
        <v>336</v>
      </c>
      <c r="B419" s="3022" t="s">
        <v>3386</v>
      </c>
      <c r="C419" s="3022" t="s">
        <v>3082</v>
      </c>
      <c r="D419" s="3022">
        <v>2211</v>
      </c>
      <c r="E419" s="3022">
        <v>64.5</v>
      </c>
      <c r="F419" s="3022" t="s">
        <v>3390</v>
      </c>
    </row>
    <row r="420" spans="1:6">
      <c r="A420" s="3022">
        <v>337</v>
      </c>
      <c r="B420" s="3022" t="s">
        <v>3386</v>
      </c>
      <c r="C420" s="3023" t="s">
        <v>3082</v>
      </c>
      <c r="D420" s="3022">
        <v>2212</v>
      </c>
      <c r="E420" s="3022">
        <v>65.94</v>
      </c>
      <c r="F420" s="3022" t="s">
        <v>3390</v>
      </c>
    </row>
    <row r="421" spans="1:6">
      <c r="A421" s="3022">
        <v>338</v>
      </c>
      <c r="B421" s="3022" t="s">
        <v>3386</v>
      </c>
      <c r="C421" s="3022" t="s">
        <v>3082</v>
      </c>
      <c r="D421" s="3022">
        <v>2213</v>
      </c>
      <c r="E421" s="3022">
        <v>63.92</v>
      </c>
      <c r="F421" s="3022" t="s">
        <v>3390</v>
      </c>
    </row>
    <row r="422" spans="1:6">
      <c r="A422" s="3022">
        <v>339</v>
      </c>
      <c r="B422" s="3022" t="s">
        <v>3386</v>
      </c>
      <c r="C422" s="3023" t="s">
        <v>3082</v>
      </c>
      <c r="D422" s="3022">
        <v>2214</v>
      </c>
      <c r="E422" s="3022">
        <v>75.81</v>
      </c>
      <c r="F422" s="3022" t="s">
        <v>3390</v>
      </c>
    </row>
    <row r="423" spans="1:6">
      <c r="A423" s="3022">
        <v>340</v>
      </c>
      <c r="B423" s="3022" t="s">
        <v>3386</v>
      </c>
      <c r="C423" s="3022" t="s">
        <v>3082</v>
      </c>
      <c r="D423" s="3022">
        <v>2215</v>
      </c>
      <c r="E423" s="3022">
        <v>69.88</v>
      </c>
      <c r="F423" s="3022" t="s">
        <v>3390</v>
      </c>
    </row>
    <row r="424" spans="1:6">
      <c r="A424" s="3022">
        <v>341</v>
      </c>
      <c r="B424" s="3022" t="s">
        <v>3386</v>
      </c>
      <c r="C424" s="3023" t="s">
        <v>3082</v>
      </c>
      <c r="D424" s="3022">
        <v>2216</v>
      </c>
      <c r="E424" s="3022">
        <v>67.42</v>
      </c>
      <c r="F424" s="3022" t="s">
        <v>3390</v>
      </c>
    </row>
    <row r="425" spans="1:6">
      <c r="A425" s="3022">
        <v>342</v>
      </c>
      <c r="B425" s="3022" t="s">
        <v>3386</v>
      </c>
      <c r="C425" s="3022" t="s">
        <v>3082</v>
      </c>
      <c r="D425" s="3022">
        <v>2217</v>
      </c>
      <c r="E425" s="3022">
        <v>68.25</v>
      </c>
      <c r="F425" s="3022" t="s">
        <v>3390</v>
      </c>
    </row>
    <row r="426" spans="1:6">
      <c r="A426" s="3022">
        <v>343</v>
      </c>
      <c r="B426" s="3022" t="s">
        <v>3386</v>
      </c>
      <c r="C426" s="3023" t="s">
        <v>3082</v>
      </c>
      <c r="D426" s="3022">
        <v>2218</v>
      </c>
      <c r="E426" s="3022">
        <v>69.11</v>
      </c>
      <c r="F426" s="3022" t="s">
        <v>3390</v>
      </c>
    </row>
    <row r="427" spans="1:6">
      <c r="A427" s="3022">
        <v>344</v>
      </c>
      <c r="B427" s="3022" t="s">
        <v>3386</v>
      </c>
      <c r="C427" s="3022" t="s">
        <v>3082</v>
      </c>
      <c r="D427" s="3022">
        <v>2219</v>
      </c>
      <c r="E427" s="3022">
        <v>70.67</v>
      </c>
      <c r="F427" s="3022" t="s">
        <v>3390</v>
      </c>
    </row>
    <row r="428" spans="1:6">
      <c r="A428" s="3022">
        <v>345</v>
      </c>
      <c r="B428" s="3022" t="s">
        <v>3386</v>
      </c>
      <c r="C428" s="3023" t="s">
        <v>3082</v>
      </c>
      <c r="D428" s="3022">
        <v>2220</v>
      </c>
      <c r="E428" s="3022">
        <v>73.25</v>
      </c>
      <c r="F428" s="3022" t="s">
        <v>3390</v>
      </c>
    </row>
    <row r="429" spans="1:6">
      <c r="A429" s="3022">
        <v>346</v>
      </c>
      <c r="B429" s="3022" t="s">
        <v>3386</v>
      </c>
      <c r="C429" s="3022" t="s">
        <v>3082</v>
      </c>
      <c r="D429" s="3022">
        <v>2221</v>
      </c>
      <c r="E429" s="3022">
        <v>71.53</v>
      </c>
      <c r="F429" s="3022" t="s">
        <v>3390</v>
      </c>
    </row>
    <row r="430" spans="1:6">
      <c r="A430" s="3022">
        <v>347</v>
      </c>
      <c r="B430" s="3022" t="s">
        <v>3386</v>
      </c>
      <c r="C430" s="3023" t="s">
        <v>3082</v>
      </c>
      <c r="D430" s="3022">
        <v>2222</v>
      </c>
      <c r="E430" s="3022">
        <v>64.290000000000006</v>
      </c>
      <c r="F430" s="3022" t="s">
        <v>3390</v>
      </c>
    </row>
    <row r="431" spans="1:6">
      <c r="A431" s="3022">
        <v>348</v>
      </c>
      <c r="B431" s="3022" t="s">
        <v>3386</v>
      </c>
      <c r="C431" s="3022" t="s">
        <v>3082</v>
      </c>
      <c r="D431" s="3022">
        <v>2223</v>
      </c>
      <c r="E431" s="3022">
        <v>59.07</v>
      </c>
      <c r="F431" s="3022" t="s">
        <v>3390</v>
      </c>
    </row>
    <row r="432" spans="1:6">
      <c r="A432" s="3022">
        <v>349</v>
      </c>
      <c r="B432" s="3022" t="s">
        <v>3386</v>
      </c>
      <c r="C432" s="3023" t="s">
        <v>3082</v>
      </c>
      <c r="D432" s="3022">
        <v>2224</v>
      </c>
      <c r="E432" s="3022">
        <v>58.01</v>
      </c>
      <c r="F432" s="3022" t="s">
        <v>3390</v>
      </c>
    </row>
    <row r="433" spans="1:6">
      <c r="A433" s="3022">
        <v>350</v>
      </c>
      <c r="B433" s="3022" t="s">
        <v>3386</v>
      </c>
      <c r="C433" s="3022" t="s">
        <v>3082</v>
      </c>
      <c r="D433" s="3022">
        <v>2225</v>
      </c>
      <c r="E433" s="3022">
        <v>66.94</v>
      </c>
      <c r="F433" s="3022" t="s">
        <v>3390</v>
      </c>
    </row>
    <row r="434" spans="1:6">
      <c r="A434" s="3022">
        <v>351</v>
      </c>
      <c r="B434" s="3022" t="s">
        <v>3386</v>
      </c>
      <c r="C434" s="3023" t="s">
        <v>3082</v>
      </c>
      <c r="D434" s="3022">
        <v>2226</v>
      </c>
      <c r="E434" s="3022">
        <v>56.59</v>
      </c>
      <c r="F434" s="3022" t="s">
        <v>3390</v>
      </c>
    </row>
    <row r="435" spans="1:6">
      <c r="A435" s="3022">
        <v>352</v>
      </c>
      <c r="B435" s="3022" t="s">
        <v>3386</v>
      </c>
      <c r="C435" s="3022" t="s">
        <v>3082</v>
      </c>
      <c r="D435" s="3022">
        <v>2227</v>
      </c>
      <c r="E435" s="3022">
        <v>58.41</v>
      </c>
      <c r="F435" s="3022" t="s">
        <v>3390</v>
      </c>
    </row>
    <row r="436" spans="1:6">
      <c r="A436" s="3022">
        <v>353</v>
      </c>
      <c r="B436" s="3022" t="s">
        <v>3386</v>
      </c>
      <c r="C436" s="3023" t="s">
        <v>3082</v>
      </c>
      <c r="D436" s="3022">
        <v>2228</v>
      </c>
      <c r="E436" s="3022">
        <v>64.13</v>
      </c>
      <c r="F436" s="3022" t="s">
        <v>3390</v>
      </c>
    </row>
    <row r="437" spans="1:6">
      <c r="A437" s="3022">
        <v>354</v>
      </c>
      <c r="B437" s="3022" t="s">
        <v>3386</v>
      </c>
      <c r="C437" s="3022" t="s">
        <v>3082</v>
      </c>
      <c r="D437" s="3022">
        <v>2229</v>
      </c>
      <c r="E437" s="3022">
        <v>57.45</v>
      </c>
      <c r="F437" s="3022" t="s">
        <v>3390</v>
      </c>
    </row>
    <row r="438" spans="1:6">
      <c r="A438" s="3022">
        <v>355</v>
      </c>
      <c r="B438" s="3022" t="s">
        <v>3386</v>
      </c>
      <c r="C438" s="3023" t="s">
        <v>3082</v>
      </c>
      <c r="D438" s="3022">
        <v>2230</v>
      </c>
      <c r="E438" s="3022">
        <v>57.33</v>
      </c>
      <c r="F438" s="3022" t="s">
        <v>3390</v>
      </c>
    </row>
    <row r="439" spans="1:6">
      <c r="A439" s="3022">
        <v>356</v>
      </c>
      <c r="B439" s="3022" t="s">
        <v>3386</v>
      </c>
      <c r="C439" s="3022" t="s">
        <v>3082</v>
      </c>
      <c r="D439" s="3022">
        <v>2231</v>
      </c>
      <c r="E439" s="3022">
        <v>56.44</v>
      </c>
      <c r="F439" s="3022" t="s">
        <v>3390</v>
      </c>
    </row>
    <row r="440" spans="1:6">
      <c r="A440" s="3022">
        <v>357</v>
      </c>
      <c r="B440" s="3022" t="s">
        <v>3386</v>
      </c>
      <c r="C440" s="3023" t="s">
        <v>3082</v>
      </c>
      <c r="D440" s="3022">
        <v>2232</v>
      </c>
      <c r="E440" s="3022">
        <v>55.78</v>
      </c>
      <c r="F440" s="3022" t="s">
        <v>3390</v>
      </c>
    </row>
    <row r="441" spans="1:6">
      <c r="A441" s="3022">
        <v>358</v>
      </c>
      <c r="B441" s="3022" t="s">
        <v>3386</v>
      </c>
      <c r="C441" s="3022" t="s">
        <v>3082</v>
      </c>
      <c r="D441" s="3022">
        <v>2233</v>
      </c>
      <c r="E441" s="3022">
        <v>55.05</v>
      </c>
      <c r="F441" s="3022" t="s">
        <v>3390</v>
      </c>
    </row>
    <row r="442" spans="1:6">
      <c r="A442" s="3022">
        <v>359</v>
      </c>
      <c r="B442" s="3022" t="s">
        <v>3386</v>
      </c>
      <c r="C442" s="3023" t="s">
        <v>3082</v>
      </c>
      <c r="D442" s="3022">
        <v>2234</v>
      </c>
      <c r="E442" s="3022">
        <v>55.51</v>
      </c>
      <c r="F442" s="3022" t="s">
        <v>3390</v>
      </c>
    </row>
    <row r="443" spans="1:6">
      <c r="A443" s="3022">
        <v>360</v>
      </c>
      <c r="B443" s="3022" t="s">
        <v>3386</v>
      </c>
      <c r="C443" s="3022" t="s">
        <v>3082</v>
      </c>
      <c r="D443" s="3022">
        <v>2235</v>
      </c>
      <c r="E443" s="3022">
        <v>55.18</v>
      </c>
      <c r="F443" s="3022" t="s">
        <v>3390</v>
      </c>
    </row>
    <row r="444" spans="1:6">
      <c r="A444" s="3022">
        <v>361</v>
      </c>
      <c r="B444" s="3022" t="s">
        <v>3386</v>
      </c>
      <c r="C444" s="3023" t="s">
        <v>3082</v>
      </c>
      <c r="D444" s="3022">
        <v>2301</v>
      </c>
      <c r="E444" s="3022">
        <v>68.05</v>
      </c>
      <c r="F444" s="3022" t="s">
        <v>3390</v>
      </c>
    </row>
    <row r="445" spans="1:6">
      <c r="A445" s="3022">
        <v>362</v>
      </c>
      <c r="B445" s="3022" t="s">
        <v>3386</v>
      </c>
      <c r="C445" s="3022" t="s">
        <v>3082</v>
      </c>
      <c r="D445" s="3022">
        <v>2302</v>
      </c>
      <c r="E445" s="3022">
        <v>47.59</v>
      </c>
      <c r="F445" s="3022" t="s">
        <v>3390</v>
      </c>
    </row>
    <row r="446" spans="1:6">
      <c r="A446" s="3022">
        <v>363</v>
      </c>
      <c r="B446" s="3022" t="s">
        <v>3386</v>
      </c>
      <c r="C446" s="3023" t="s">
        <v>3082</v>
      </c>
      <c r="D446" s="3022">
        <v>2303</v>
      </c>
      <c r="E446" s="3022">
        <v>52.4</v>
      </c>
      <c r="F446" s="3022" t="s">
        <v>3390</v>
      </c>
    </row>
    <row r="447" spans="1:6">
      <c r="A447" s="3022">
        <v>364</v>
      </c>
      <c r="B447" s="3022" t="s">
        <v>3386</v>
      </c>
      <c r="C447" s="3022" t="s">
        <v>3082</v>
      </c>
      <c r="D447" s="3022">
        <v>2304</v>
      </c>
      <c r="E447" s="3022">
        <v>56.57</v>
      </c>
      <c r="F447" s="3022" t="s">
        <v>3390</v>
      </c>
    </row>
    <row r="448" spans="1:6">
      <c r="A448" s="3022">
        <v>365</v>
      </c>
      <c r="B448" s="3022" t="s">
        <v>3386</v>
      </c>
      <c r="C448" s="3023" t="s">
        <v>3082</v>
      </c>
      <c r="D448" s="3022">
        <v>2305</v>
      </c>
      <c r="E448" s="3022">
        <v>59.91</v>
      </c>
      <c r="F448" s="3022" t="s">
        <v>3390</v>
      </c>
    </row>
    <row r="449" spans="1:6">
      <c r="A449" s="3022">
        <v>366</v>
      </c>
      <c r="B449" s="3022" t="s">
        <v>3386</v>
      </c>
      <c r="C449" s="3022" t="s">
        <v>3082</v>
      </c>
      <c r="D449" s="3022">
        <v>2306</v>
      </c>
      <c r="E449" s="3022">
        <v>61.66</v>
      </c>
      <c r="F449" s="3022" t="s">
        <v>3390</v>
      </c>
    </row>
    <row r="450" spans="1:6">
      <c r="A450" s="3022">
        <v>367</v>
      </c>
      <c r="B450" s="3022" t="s">
        <v>3386</v>
      </c>
      <c r="C450" s="3023" t="s">
        <v>3082</v>
      </c>
      <c r="D450" s="3022">
        <v>2307</v>
      </c>
      <c r="E450" s="3022">
        <v>61.94</v>
      </c>
      <c r="F450" s="3022" t="s">
        <v>3390</v>
      </c>
    </row>
    <row r="451" spans="1:6">
      <c r="A451" s="3022">
        <v>368</v>
      </c>
      <c r="B451" s="3022" t="s">
        <v>3386</v>
      </c>
      <c r="C451" s="3022" t="s">
        <v>3082</v>
      </c>
      <c r="D451" s="3022">
        <v>2308</v>
      </c>
      <c r="E451" s="3022">
        <v>61.98</v>
      </c>
      <c r="F451" s="3022" t="s">
        <v>3390</v>
      </c>
    </row>
    <row r="452" spans="1:6">
      <c r="A452" s="3022">
        <v>369</v>
      </c>
      <c r="B452" s="3022" t="s">
        <v>3386</v>
      </c>
      <c r="C452" s="3023" t="s">
        <v>3082</v>
      </c>
      <c r="D452" s="3022">
        <v>2309</v>
      </c>
      <c r="E452" s="3022">
        <v>62.31</v>
      </c>
      <c r="F452" s="3022" t="s">
        <v>3390</v>
      </c>
    </row>
    <row r="453" spans="1:6">
      <c r="A453" s="3022">
        <v>370</v>
      </c>
      <c r="B453" s="3022" t="s">
        <v>3386</v>
      </c>
      <c r="C453" s="3022" t="s">
        <v>3082</v>
      </c>
      <c r="D453" s="3022">
        <v>2310</v>
      </c>
      <c r="E453" s="3022">
        <v>63</v>
      </c>
      <c r="F453" s="3022" t="s">
        <v>3390</v>
      </c>
    </row>
    <row r="454" spans="1:6">
      <c r="A454" s="3022">
        <v>371</v>
      </c>
      <c r="B454" s="3022" t="s">
        <v>3386</v>
      </c>
      <c r="C454" s="3023" t="s">
        <v>3082</v>
      </c>
      <c r="D454" s="3022">
        <v>2311</v>
      </c>
      <c r="E454" s="3022">
        <v>64.5</v>
      </c>
      <c r="F454" s="3022" t="s">
        <v>3390</v>
      </c>
    </row>
    <row r="455" spans="1:6">
      <c r="A455" s="3022">
        <v>372</v>
      </c>
      <c r="B455" s="3022" t="s">
        <v>3386</v>
      </c>
      <c r="C455" s="3022" t="s">
        <v>3082</v>
      </c>
      <c r="D455" s="3022">
        <v>2312</v>
      </c>
      <c r="E455" s="3022">
        <v>65.94</v>
      </c>
      <c r="F455" s="3022" t="s">
        <v>3390</v>
      </c>
    </row>
    <row r="456" spans="1:6">
      <c r="A456" s="3022">
        <v>373</v>
      </c>
      <c r="B456" s="3022" t="s">
        <v>3386</v>
      </c>
      <c r="C456" s="3023" t="s">
        <v>3082</v>
      </c>
      <c r="D456" s="3022">
        <v>2313</v>
      </c>
      <c r="E456" s="3022">
        <v>63.92</v>
      </c>
      <c r="F456" s="3022" t="s">
        <v>3390</v>
      </c>
    </row>
    <row r="457" spans="1:6">
      <c r="A457" s="3022">
        <v>374</v>
      </c>
      <c r="B457" s="3022" t="s">
        <v>3386</v>
      </c>
      <c r="C457" s="3022" t="s">
        <v>3082</v>
      </c>
      <c r="D457" s="3022">
        <v>2314</v>
      </c>
      <c r="E457" s="3022">
        <v>75.81</v>
      </c>
      <c r="F457" s="3022" t="s">
        <v>3390</v>
      </c>
    </row>
    <row r="458" spans="1:6">
      <c r="A458" s="3022">
        <v>375</v>
      </c>
      <c r="B458" s="3022" t="s">
        <v>3386</v>
      </c>
      <c r="C458" s="3023" t="s">
        <v>3082</v>
      </c>
      <c r="D458" s="3022">
        <v>2315</v>
      </c>
      <c r="E458" s="3022">
        <v>69.88</v>
      </c>
      <c r="F458" s="3022" t="s">
        <v>3390</v>
      </c>
    </row>
    <row r="459" spans="1:6">
      <c r="A459" s="3022">
        <v>376</v>
      </c>
      <c r="B459" s="3022" t="s">
        <v>3386</v>
      </c>
      <c r="C459" s="3022" t="s">
        <v>3082</v>
      </c>
      <c r="D459" s="3022">
        <v>2316</v>
      </c>
      <c r="E459" s="3022">
        <v>67.42</v>
      </c>
      <c r="F459" s="3022" t="s">
        <v>3390</v>
      </c>
    </row>
    <row r="460" spans="1:6">
      <c r="A460" s="3022">
        <v>377</v>
      </c>
      <c r="B460" s="3022" t="s">
        <v>3386</v>
      </c>
      <c r="C460" s="3023" t="s">
        <v>3082</v>
      </c>
      <c r="D460" s="3022">
        <v>2317</v>
      </c>
      <c r="E460" s="3022">
        <v>68.25</v>
      </c>
      <c r="F460" s="3022" t="s">
        <v>3390</v>
      </c>
    </row>
    <row r="461" spans="1:6">
      <c r="A461" s="3022">
        <v>378</v>
      </c>
      <c r="B461" s="3022" t="s">
        <v>3386</v>
      </c>
      <c r="C461" s="3022" t="s">
        <v>3082</v>
      </c>
      <c r="D461" s="3022">
        <v>2318</v>
      </c>
      <c r="E461" s="3022">
        <v>69.11</v>
      </c>
      <c r="F461" s="3022" t="s">
        <v>3390</v>
      </c>
    </row>
    <row r="462" spans="1:6">
      <c r="A462" s="3022">
        <v>379</v>
      </c>
      <c r="B462" s="3022" t="s">
        <v>3386</v>
      </c>
      <c r="C462" s="3023" t="s">
        <v>3082</v>
      </c>
      <c r="D462" s="3022">
        <v>2319</v>
      </c>
      <c r="E462" s="3022">
        <v>70.67</v>
      </c>
      <c r="F462" s="3022" t="s">
        <v>3390</v>
      </c>
    </row>
    <row r="463" spans="1:6">
      <c r="A463" s="3022">
        <v>380</v>
      </c>
      <c r="B463" s="3022" t="s">
        <v>3386</v>
      </c>
      <c r="C463" s="3022" t="s">
        <v>3082</v>
      </c>
      <c r="D463" s="3022">
        <v>2320</v>
      </c>
      <c r="E463" s="3022">
        <v>73.25</v>
      </c>
      <c r="F463" s="3022" t="s">
        <v>3390</v>
      </c>
    </row>
    <row r="464" spans="1:6">
      <c r="A464" s="3022">
        <v>381</v>
      </c>
      <c r="B464" s="3022" t="s">
        <v>3386</v>
      </c>
      <c r="C464" s="3023" t="s">
        <v>3082</v>
      </c>
      <c r="D464" s="3022">
        <v>2321</v>
      </c>
      <c r="E464" s="3022">
        <v>71.53</v>
      </c>
      <c r="F464" s="3022" t="s">
        <v>3390</v>
      </c>
    </row>
    <row r="465" spans="1:6">
      <c r="A465" s="3022">
        <v>382</v>
      </c>
      <c r="B465" s="3022" t="s">
        <v>3386</v>
      </c>
      <c r="C465" s="3022" t="s">
        <v>3082</v>
      </c>
      <c r="D465" s="3022">
        <v>2322</v>
      </c>
      <c r="E465" s="3022">
        <v>64.290000000000006</v>
      </c>
      <c r="F465" s="3022" t="s">
        <v>3390</v>
      </c>
    </row>
    <row r="466" spans="1:6">
      <c r="A466" s="3022">
        <v>383</v>
      </c>
      <c r="B466" s="3022" t="s">
        <v>3386</v>
      </c>
      <c r="C466" s="3023" t="s">
        <v>3082</v>
      </c>
      <c r="D466" s="3022">
        <v>2323</v>
      </c>
      <c r="E466" s="3022">
        <v>59.07</v>
      </c>
      <c r="F466" s="3022" t="s">
        <v>3390</v>
      </c>
    </row>
    <row r="467" spans="1:6">
      <c r="A467" s="3022">
        <v>384</v>
      </c>
      <c r="B467" s="3022" t="s">
        <v>3386</v>
      </c>
      <c r="C467" s="3022" t="s">
        <v>3082</v>
      </c>
      <c r="D467" s="3022">
        <v>2324</v>
      </c>
      <c r="E467" s="3022">
        <v>58.01</v>
      </c>
      <c r="F467" s="3022" t="s">
        <v>3390</v>
      </c>
    </row>
    <row r="468" spans="1:6">
      <c r="A468" s="3022">
        <v>385</v>
      </c>
      <c r="B468" s="3022" t="s">
        <v>3386</v>
      </c>
      <c r="C468" s="3023" t="s">
        <v>3082</v>
      </c>
      <c r="D468" s="3022">
        <v>2325</v>
      </c>
      <c r="E468" s="3022">
        <v>66.94</v>
      </c>
      <c r="F468" s="3022" t="s">
        <v>3390</v>
      </c>
    </row>
    <row r="469" spans="1:6">
      <c r="A469" s="3022">
        <v>386</v>
      </c>
      <c r="B469" s="3022" t="s">
        <v>3386</v>
      </c>
      <c r="C469" s="3022" t="s">
        <v>3082</v>
      </c>
      <c r="D469" s="3022">
        <v>2326</v>
      </c>
      <c r="E469" s="3022">
        <v>56.59</v>
      </c>
      <c r="F469" s="3022" t="s">
        <v>3390</v>
      </c>
    </row>
    <row r="470" spans="1:6">
      <c r="A470" s="3022">
        <v>387</v>
      </c>
      <c r="B470" s="3022" t="s">
        <v>3386</v>
      </c>
      <c r="C470" s="3023" t="s">
        <v>3082</v>
      </c>
      <c r="D470" s="3022">
        <v>2327</v>
      </c>
      <c r="E470" s="3022">
        <v>58.41</v>
      </c>
      <c r="F470" s="3022" t="s">
        <v>3390</v>
      </c>
    </row>
    <row r="471" spans="1:6">
      <c r="A471" s="3022">
        <v>388</v>
      </c>
      <c r="B471" s="3022" t="s">
        <v>3386</v>
      </c>
      <c r="C471" s="3022" t="s">
        <v>3082</v>
      </c>
      <c r="D471" s="3022">
        <v>2328</v>
      </c>
      <c r="E471" s="3022">
        <v>64.13</v>
      </c>
      <c r="F471" s="3022" t="s">
        <v>3390</v>
      </c>
    </row>
    <row r="472" spans="1:6">
      <c r="A472" s="3022">
        <v>389</v>
      </c>
      <c r="B472" s="3022" t="s">
        <v>3386</v>
      </c>
      <c r="C472" s="3023" t="s">
        <v>3082</v>
      </c>
      <c r="D472" s="3022">
        <v>2329</v>
      </c>
      <c r="E472" s="3022">
        <v>57.45</v>
      </c>
      <c r="F472" s="3022" t="s">
        <v>3390</v>
      </c>
    </row>
    <row r="473" spans="1:6">
      <c r="A473" s="3022">
        <v>390</v>
      </c>
      <c r="B473" s="3022" t="s">
        <v>3386</v>
      </c>
      <c r="C473" s="3022" t="s">
        <v>3082</v>
      </c>
      <c r="D473" s="3022">
        <v>2330</v>
      </c>
      <c r="E473" s="3022">
        <v>57.33</v>
      </c>
      <c r="F473" s="3022" t="s">
        <v>3390</v>
      </c>
    </row>
    <row r="474" spans="1:6">
      <c r="A474" s="3022">
        <v>391</v>
      </c>
      <c r="B474" s="3022" t="s">
        <v>3386</v>
      </c>
      <c r="C474" s="3023" t="s">
        <v>3082</v>
      </c>
      <c r="D474" s="3022">
        <v>2331</v>
      </c>
      <c r="E474" s="3022">
        <v>56.44</v>
      </c>
      <c r="F474" s="3022" t="s">
        <v>3390</v>
      </c>
    </row>
    <row r="475" spans="1:6">
      <c r="A475" s="3022">
        <v>392</v>
      </c>
      <c r="B475" s="3022" t="s">
        <v>3386</v>
      </c>
      <c r="C475" s="3022" t="s">
        <v>3082</v>
      </c>
      <c r="D475" s="3022">
        <v>2332</v>
      </c>
      <c r="E475" s="3022">
        <v>55.78</v>
      </c>
      <c r="F475" s="3022" t="s">
        <v>3390</v>
      </c>
    </row>
    <row r="476" spans="1:6">
      <c r="A476" s="3022">
        <v>393</v>
      </c>
      <c r="B476" s="3022" t="s">
        <v>3386</v>
      </c>
      <c r="C476" s="3023" t="s">
        <v>3082</v>
      </c>
      <c r="D476" s="3022">
        <v>2333</v>
      </c>
      <c r="E476" s="3022">
        <v>55.05</v>
      </c>
      <c r="F476" s="3022" t="s">
        <v>3390</v>
      </c>
    </row>
    <row r="477" spans="1:6">
      <c r="A477" s="3022">
        <v>394</v>
      </c>
      <c r="B477" s="3022" t="s">
        <v>3386</v>
      </c>
      <c r="C477" s="3022" t="s">
        <v>3082</v>
      </c>
      <c r="D477" s="3022">
        <v>2334</v>
      </c>
      <c r="E477" s="3022">
        <v>55.51</v>
      </c>
      <c r="F477" s="3022" t="s">
        <v>3390</v>
      </c>
    </row>
    <row r="478" spans="1:6">
      <c r="A478" s="3022">
        <v>395</v>
      </c>
      <c r="B478" s="3022" t="s">
        <v>3386</v>
      </c>
      <c r="C478" s="3023" t="s">
        <v>3082</v>
      </c>
      <c r="D478" s="3022">
        <v>2335</v>
      </c>
      <c r="E478" s="3022">
        <v>55.18</v>
      </c>
      <c r="F478" s="3022" t="s">
        <v>3390</v>
      </c>
    </row>
    <row r="479" spans="1:6">
      <c r="A479" s="3022">
        <v>396</v>
      </c>
      <c r="B479" s="3022" t="s">
        <v>3386</v>
      </c>
      <c r="C479" s="3022" t="s">
        <v>3082</v>
      </c>
      <c r="D479" s="3022">
        <v>2401</v>
      </c>
      <c r="E479" s="3022">
        <v>68.05</v>
      </c>
      <c r="F479" s="3022" t="s">
        <v>3390</v>
      </c>
    </row>
    <row r="480" spans="1:6">
      <c r="A480" s="3022">
        <v>397</v>
      </c>
      <c r="B480" s="3022" t="s">
        <v>3386</v>
      </c>
      <c r="C480" s="3023" t="s">
        <v>3082</v>
      </c>
      <c r="D480" s="3022">
        <v>2402</v>
      </c>
      <c r="E480" s="3022">
        <v>47.59</v>
      </c>
      <c r="F480" s="3022" t="s">
        <v>3390</v>
      </c>
    </row>
    <row r="481" spans="1:6">
      <c r="A481" s="3022">
        <v>398</v>
      </c>
      <c r="B481" s="3022" t="s">
        <v>3386</v>
      </c>
      <c r="C481" s="3022" t="s">
        <v>3082</v>
      </c>
      <c r="D481" s="3022">
        <v>2403</v>
      </c>
      <c r="E481" s="3022">
        <v>52.4</v>
      </c>
      <c r="F481" s="3022" t="s">
        <v>3390</v>
      </c>
    </row>
    <row r="482" spans="1:6">
      <c r="A482" s="3022">
        <v>399</v>
      </c>
      <c r="B482" s="3022" t="s">
        <v>3386</v>
      </c>
      <c r="C482" s="3023" t="s">
        <v>3082</v>
      </c>
      <c r="D482" s="3022">
        <v>2404</v>
      </c>
      <c r="E482" s="3022">
        <v>56.57</v>
      </c>
      <c r="F482" s="3022" t="s">
        <v>3390</v>
      </c>
    </row>
    <row r="483" spans="1:6">
      <c r="A483" s="3022">
        <v>400</v>
      </c>
      <c r="B483" s="3022" t="s">
        <v>3386</v>
      </c>
      <c r="C483" s="3022" t="s">
        <v>3082</v>
      </c>
      <c r="D483" s="3022">
        <v>2405</v>
      </c>
      <c r="E483" s="3022">
        <v>59.91</v>
      </c>
      <c r="F483" s="3022" t="s">
        <v>3390</v>
      </c>
    </row>
    <row r="484" spans="1:6">
      <c r="A484" s="3022">
        <v>401</v>
      </c>
      <c r="B484" s="3022" t="s">
        <v>3386</v>
      </c>
      <c r="C484" s="3023" t="s">
        <v>3082</v>
      </c>
      <c r="D484" s="3022">
        <v>2406</v>
      </c>
      <c r="E484" s="3022">
        <v>61.66</v>
      </c>
      <c r="F484" s="3022" t="s">
        <v>3390</v>
      </c>
    </row>
    <row r="485" spans="1:6">
      <c r="A485" s="3022">
        <v>402</v>
      </c>
      <c r="B485" s="3022" t="s">
        <v>3386</v>
      </c>
      <c r="C485" s="3022" t="s">
        <v>3082</v>
      </c>
      <c r="D485" s="3022">
        <v>2407</v>
      </c>
      <c r="E485" s="3022">
        <v>61.94</v>
      </c>
      <c r="F485" s="3022" t="s">
        <v>3390</v>
      </c>
    </row>
    <row r="486" spans="1:6">
      <c r="A486" s="3022">
        <v>403</v>
      </c>
      <c r="B486" s="3022" t="s">
        <v>3386</v>
      </c>
      <c r="C486" s="3023" t="s">
        <v>3082</v>
      </c>
      <c r="D486" s="3022">
        <v>2408</v>
      </c>
      <c r="E486" s="3022">
        <v>61.98</v>
      </c>
      <c r="F486" s="3022" t="s">
        <v>3390</v>
      </c>
    </row>
    <row r="487" spans="1:6">
      <c r="A487" s="3022">
        <v>404</v>
      </c>
      <c r="B487" s="3022" t="s">
        <v>3386</v>
      </c>
      <c r="C487" s="3022" t="s">
        <v>3082</v>
      </c>
      <c r="D487" s="3022">
        <v>2409</v>
      </c>
      <c r="E487" s="3022">
        <v>62.31</v>
      </c>
      <c r="F487" s="3022" t="s">
        <v>3390</v>
      </c>
    </row>
    <row r="488" spans="1:6">
      <c r="A488" s="3022">
        <v>405</v>
      </c>
      <c r="B488" s="3022" t="s">
        <v>3386</v>
      </c>
      <c r="C488" s="3023" t="s">
        <v>3082</v>
      </c>
      <c r="D488" s="3022">
        <v>2410</v>
      </c>
      <c r="E488" s="3022">
        <v>63</v>
      </c>
      <c r="F488" s="3022" t="s">
        <v>3390</v>
      </c>
    </row>
    <row r="489" spans="1:6">
      <c r="A489" s="3022">
        <v>406</v>
      </c>
      <c r="B489" s="3022" t="s">
        <v>3386</v>
      </c>
      <c r="C489" s="3022" t="s">
        <v>3082</v>
      </c>
      <c r="D489" s="3022">
        <v>2411</v>
      </c>
      <c r="E489" s="3022">
        <v>64.5</v>
      </c>
      <c r="F489" s="3022" t="s">
        <v>3390</v>
      </c>
    </row>
    <row r="490" spans="1:6">
      <c r="A490" s="3022">
        <v>407</v>
      </c>
      <c r="B490" s="3022" t="s">
        <v>3386</v>
      </c>
      <c r="C490" s="3023" t="s">
        <v>3082</v>
      </c>
      <c r="D490" s="3022">
        <v>2412</v>
      </c>
      <c r="E490" s="3022">
        <v>65.94</v>
      </c>
      <c r="F490" s="3022" t="s">
        <v>3390</v>
      </c>
    </row>
    <row r="491" spans="1:6">
      <c r="A491" s="3022">
        <v>408</v>
      </c>
      <c r="B491" s="3022" t="s">
        <v>3386</v>
      </c>
      <c r="C491" s="3022" t="s">
        <v>3082</v>
      </c>
      <c r="D491" s="3022">
        <v>2413</v>
      </c>
      <c r="E491" s="3022">
        <v>63.92</v>
      </c>
      <c r="F491" s="3022" t="s">
        <v>3390</v>
      </c>
    </row>
    <row r="492" spans="1:6">
      <c r="A492" s="3022">
        <v>409</v>
      </c>
      <c r="B492" s="3022" t="s">
        <v>3386</v>
      </c>
      <c r="C492" s="3023" t="s">
        <v>3082</v>
      </c>
      <c r="D492" s="3022">
        <v>2414</v>
      </c>
      <c r="E492" s="3022">
        <v>75.81</v>
      </c>
      <c r="F492" s="3022" t="s">
        <v>3390</v>
      </c>
    </row>
    <row r="493" spans="1:6">
      <c r="A493" s="3022">
        <v>410</v>
      </c>
      <c r="B493" s="3022" t="s">
        <v>3386</v>
      </c>
      <c r="C493" s="3022" t="s">
        <v>3082</v>
      </c>
      <c r="D493" s="3022">
        <v>2415</v>
      </c>
      <c r="E493" s="3022">
        <v>69.88</v>
      </c>
      <c r="F493" s="3022" t="s">
        <v>3390</v>
      </c>
    </row>
    <row r="494" spans="1:6">
      <c r="A494" s="3022">
        <v>411</v>
      </c>
      <c r="B494" s="3022" t="s">
        <v>3386</v>
      </c>
      <c r="C494" s="3023" t="s">
        <v>3082</v>
      </c>
      <c r="D494" s="3022">
        <v>2416</v>
      </c>
      <c r="E494" s="3022">
        <v>67.42</v>
      </c>
      <c r="F494" s="3022" t="s">
        <v>3390</v>
      </c>
    </row>
    <row r="495" spans="1:6">
      <c r="A495" s="3022">
        <v>412</v>
      </c>
      <c r="B495" s="3022" t="s">
        <v>3386</v>
      </c>
      <c r="C495" s="3022" t="s">
        <v>3082</v>
      </c>
      <c r="D495" s="3022">
        <v>2417</v>
      </c>
      <c r="E495" s="3022">
        <v>68.25</v>
      </c>
      <c r="F495" s="3022" t="s">
        <v>3390</v>
      </c>
    </row>
    <row r="496" spans="1:6">
      <c r="A496" s="3022">
        <v>413</v>
      </c>
      <c r="B496" s="3022" t="s">
        <v>3386</v>
      </c>
      <c r="C496" s="3023" t="s">
        <v>3082</v>
      </c>
      <c r="D496" s="3022">
        <v>2418</v>
      </c>
      <c r="E496" s="3022">
        <v>69.11</v>
      </c>
      <c r="F496" s="3022" t="s">
        <v>3390</v>
      </c>
    </row>
    <row r="497" spans="1:6">
      <c r="A497" s="3022">
        <v>414</v>
      </c>
      <c r="B497" s="3022" t="s">
        <v>3386</v>
      </c>
      <c r="C497" s="3022" t="s">
        <v>3082</v>
      </c>
      <c r="D497" s="3022">
        <v>2419</v>
      </c>
      <c r="E497" s="3022">
        <v>70.67</v>
      </c>
      <c r="F497" s="3022" t="s">
        <v>3390</v>
      </c>
    </row>
    <row r="498" spans="1:6">
      <c r="A498" s="3022">
        <v>415</v>
      </c>
      <c r="B498" s="3022" t="s">
        <v>3386</v>
      </c>
      <c r="C498" s="3023" t="s">
        <v>3082</v>
      </c>
      <c r="D498" s="3022">
        <v>2420</v>
      </c>
      <c r="E498" s="3022">
        <v>73.25</v>
      </c>
      <c r="F498" s="3022" t="s">
        <v>3390</v>
      </c>
    </row>
    <row r="499" spans="1:6">
      <c r="A499" s="3022">
        <v>416</v>
      </c>
      <c r="B499" s="3022" t="s">
        <v>3386</v>
      </c>
      <c r="C499" s="3022" t="s">
        <v>3082</v>
      </c>
      <c r="D499" s="3022">
        <v>2421</v>
      </c>
      <c r="E499" s="3022">
        <v>71.53</v>
      </c>
      <c r="F499" s="3022" t="s">
        <v>3390</v>
      </c>
    </row>
    <row r="500" spans="1:6">
      <c r="A500" s="3022">
        <v>417</v>
      </c>
      <c r="B500" s="3022" t="s">
        <v>3386</v>
      </c>
      <c r="C500" s="3023" t="s">
        <v>3082</v>
      </c>
      <c r="D500" s="3022">
        <v>2422</v>
      </c>
      <c r="E500" s="3022">
        <v>64.290000000000006</v>
      </c>
      <c r="F500" s="3022" t="s">
        <v>3390</v>
      </c>
    </row>
    <row r="501" spans="1:6">
      <c r="A501" s="3022">
        <v>418</v>
      </c>
      <c r="B501" s="3022" t="s">
        <v>3386</v>
      </c>
      <c r="C501" s="3022" t="s">
        <v>3082</v>
      </c>
      <c r="D501" s="3022">
        <v>2423</v>
      </c>
      <c r="E501" s="3022">
        <v>59.07</v>
      </c>
      <c r="F501" s="3022" t="s">
        <v>3390</v>
      </c>
    </row>
    <row r="502" spans="1:6">
      <c r="A502" s="3022">
        <v>419</v>
      </c>
      <c r="B502" s="3022" t="s">
        <v>3386</v>
      </c>
      <c r="C502" s="3023" t="s">
        <v>3082</v>
      </c>
      <c r="D502" s="3022">
        <v>2424</v>
      </c>
      <c r="E502" s="3022">
        <v>58.01</v>
      </c>
      <c r="F502" s="3022" t="s">
        <v>3390</v>
      </c>
    </row>
    <row r="503" spans="1:6">
      <c r="A503" s="3022">
        <v>420</v>
      </c>
      <c r="B503" s="3022" t="s">
        <v>3386</v>
      </c>
      <c r="C503" s="3022" t="s">
        <v>3082</v>
      </c>
      <c r="D503" s="3022">
        <v>2425</v>
      </c>
      <c r="E503" s="3022">
        <v>66.94</v>
      </c>
      <c r="F503" s="3022" t="s">
        <v>3390</v>
      </c>
    </row>
    <row r="504" spans="1:6">
      <c r="A504" s="3022">
        <v>421</v>
      </c>
      <c r="B504" s="3022" t="s">
        <v>3386</v>
      </c>
      <c r="C504" s="3023" t="s">
        <v>3082</v>
      </c>
      <c r="D504" s="3022">
        <v>2426</v>
      </c>
      <c r="E504" s="3022">
        <v>56.59</v>
      </c>
      <c r="F504" s="3022" t="s">
        <v>3390</v>
      </c>
    </row>
    <row r="505" spans="1:6">
      <c r="A505" s="3022">
        <v>422</v>
      </c>
      <c r="B505" s="3022" t="s">
        <v>3386</v>
      </c>
      <c r="C505" s="3022" t="s">
        <v>3082</v>
      </c>
      <c r="D505" s="3022">
        <v>2427</v>
      </c>
      <c r="E505" s="3022">
        <v>58.41</v>
      </c>
      <c r="F505" s="3022" t="s">
        <v>3390</v>
      </c>
    </row>
    <row r="506" spans="1:6">
      <c r="A506" s="3022">
        <v>423</v>
      </c>
      <c r="B506" s="3022" t="s">
        <v>3386</v>
      </c>
      <c r="C506" s="3023" t="s">
        <v>3082</v>
      </c>
      <c r="D506" s="3022">
        <v>2428</v>
      </c>
      <c r="E506" s="3022">
        <v>64.13</v>
      </c>
      <c r="F506" s="3022" t="s">
        <v>3390</v>
      </c>
    </row>
    <row r="507" spans="1:6">
      <c r="A507" s="3022">
        <v>424</v>
      </c>
      <c r="B507" s="3022" t="s">
        <v>3386</v>
      </c>
      <c r="C507" s="3022" t="s">
        <v>3082</v>
      </c>
      <c r="D507" s="3022">
        <v>2429</v>
      </c>
      <c r="E507" s="3022">
        <v>57.45</v>
      </c>
      <c r="F507" s="3022" t="s">
        <v>3390</v>
      </c>
    </row>
    <row r="508" spans="1:6">
      <c r="A508" s="3022">
        <v>425</v>
      </c>
      <c r="B508" s="3022" t="s">
        <v>3386</v>
      </c>
      <c r="C508" s="3023" t="s">
        <v>3082</v>
      </c>
      <c r="D508" s="3022">
        <v>2430</v>
      </c>
      <c r="E508" s="3022">
        <v>57.33</v>
      </c>
      <c r="F508" s="3022" t="s">
        <v>3390</v>
      </c>
    </row>
    <row r="509" spans="1:6">
      <c r="A509" s="3022">
        <v>426</v>
      </c>
      <c r="B509" s="3022" t="s">
        <v>3386</v>
      </c>
      <c r="C509" s="3022" t="s">
        <v>3082</v>
      </c>
      <c r="D509" s="3022">
        <v>2431</v>
      </c>
      <c r="E509" s="3022">
        <v>56.44</v>
      </c>
      <c r="F509" s="3022" t="s">
        <v>3390</v>
      </c>
    </row>
    <row r="510" spans="1:6">
      <c r="A510" s="3022">
        <v>427</v>
      </c>
      <c r="B510" s="3022" t="s">
        <v>3386</v>
      </c>
      <c r="C510" s="3023" t="s">
        <v>3082</v>
      </c>
      <c r="D510" s="3022">
        <v>2432</v>
      </c>
      <c r="E510" s="3022">
        <v>55.78</v>
      </c>
      <c r="F510" s="3022" t="s">
        <v>3390</v>
      </c>
    </row>
    <row r="511" spans="1:6">
      <c r="A511" s="3022">
        <v>428</v>
      </c>
      <c r="B511" s="3022" t="s">
        <v>3386</v>
      </c>
      <c r="C511" s="3022" t="s">
        <v>3082</v>
      </c>
      <c r="D511" s="3022">
        <v>2433</v>
      </c>
      <c r="E511" s="3022">
        <v>55.05</v>
      </c>
      <c r="F511" s="3022" t="s">
        <v>3390</v>
      </c>
    </row>
    <row r="512" spans="1:6">
      <c r="A512" s="3022">
        <v>429</v>
      </c>
      <c r="B512" s="3022" t="s">
        <v>3386</v>
      </c>
      <c r="C512" s="3023" t="s">
        <v>3082</v>
      </c>
      <c r="D512" s="3022">
        <v>2434</v>
      </c>
      <c r="E512" s="3022">
        <v>55.51</v>
      </c>
      <c r="F512" s="3022" t="s">
        <v>3390</v>
      </c>
    </row>
    <row r="513" spans="1:6">
      <c r="A513" s="3022">
        <v>430</v>
      </c>
      <c r="B513" s="3022" t="s">
        <v>3386</v>
      </c>
      <c r="C513" s="3022" t="s">
        <v>3082</v>
      </c>
      <c r="D513" s="3022">
        <v>2435</v>
      </c>
      <c r="E513" s="3022">
        <v>55.18</v>
      </c>
      <c r="F513" s="3022" t="s">
        <v>3390</v>
      </c>
    </row>
    <row r="514" spans="1:6">
      <c r="A514" s="3022">
        <v>431</v>
      </c>
      <c r="B514" s="3022" t="s">
        <v>3386</v>
      </c>
      <c r="C514" s="3023" t="s">
        <v>3082</v>
      </c>
      <c r="D514" s="3022">
        <v>2501</v>
      </c>
      <c r="E514" s="3022">
        <v>68.05</v>
      </c>
      <c r="F514" s="3022" t="s">
        <v>3390</v>
      </c>
    </row>
    <row r="515" spans="1:6">
      <c r="A515" s="3022">
        <v>432</v>
      </c>
      <c r="B515" s="3022" t="s">
        <v>3386</v>
      </c>
      <c r="C515" s="3022" t="s">
        <v>3082</v>
      </c>
      <c r="D515" s="3022">
        <v>2502</v>
      </c>
      <c r="E515" s="3022">
        <v>47.59</v>
      </c>
      <c r="F515" s="3022" t="s">
        <v>3390</v>
      </c>
    </row>
    <row r="516" spans="1:6">
      <c r="A516" s="3022">
        <v>433</v>
      </c>
      <c r="B516" s="3022" t="s">
        <v>3386</v>
      </c>
      <c r="C516" s="3023" t="s">
        <v>3082</v>
      </c>
      <c r="D516" s="3022">
        <v>2503</v>
      </c>
      <c r="E516" s="3022">
        <v>52.4</v>
      </c>
      <c r="F516" s="3022" t="s">
        <v>3390</v>
      </c>
    </row>
    <row r="517" spans="1:6">
      <c r="A517" s="3022">
        <v>434</v>
      </c>
      <c r="B517" s="3022" t="s">
        <v>3386</v>
      </c>
      <c r="C517" s="3022" t="s">
        <v>3082</v>
      </c>
      <c r="D517" s="3022">
        <v>2504</v>
      </c>
      <c r="E517" s="3022">
        <v>56.57</v>
      </c>
      <c r="F517" s="3022" t="s">
        <v>3390</v>
      </c>
    </row>
    <row r="518" spans="1:6">
      <c r="A518" s="3022">
        <v>435</v>
      </c>
      <c r="B518" s="3022" t="s">
        <v>3386</v>
      </c>
      <c r="C518" s="3023" t="s">
        <v>3082</v>
      </c>
      <c r="D518" s="3022">
        <v>2505</v>
      </c>
      <c r="E518" s="3022">
        <v>59.91</v>
      </c>
      <c r="F518" s="3022" t="s">
        <v>3390</v>
      </c>
    </row>
    <row r="519" spans="1:6">
      <c r="A519" s="3022">
        <v>436</v>
      </c>
      <c r="B519" s="3022" t="s">
        <v>3386</v>
      </c>
      <c r="C519" s="3022" t="s">
        <v>3082</v>
      </c>
      <c r="D519" s="3022">
        <v>2506</v>
      </c>
      <c r="E519" s="3022">
        <v>61.66</v>
      </c>
      <c r="F519" s="3022" t="s">
        <v>3390</v>
      </c>
    </row>
    <row r="520" spans="1:6">
      <c r="A520" s="3022">
        <v>437</v>
      </c>
      <c r="B520" s="3022" t="s">
        <v>3386</v>
      </c>
      <c r="C520" s="3023" t="s">
        <v>3082</v>
      </c>
      <c r="D520" s="3022">
        <v>2507</v>
      </c>
      <c r="E520" s="3022">
        <v>61.94</v>
      </c>
      <c r="F520" s="3022" t="s">
        <v>3390</v>
      </c>
    </row>
    <row r="521" spans="1:6">
      <c r="A521" s="3022">
        <v>438</v>
      </c>
      <c r="B521" s="3022" t="s">
        <v>3386</v>
      </c>
      <c r="C521" s="3022" t="s">
        <v>3082</v>
      </c>
      <c r="D521" s="3022">
        <v>2508</v>
      </c>
      <c r="E521" s="3022">
        <v>61.98</v>
      </c>
      <c r="F521" s="3022" t="s">
        <v>3390</v>
      </c>
    </row>
    <row r="522" spans="1:6">
      <c r="A522" s="3022">
        <v>439</v>
      </c>
      <c r="B522" s="3022" t="s">
        <v>3386</v>
      </c>
      <c r="C522" s="3023" t="s">
        <v>3082</v>
      </c>
      <c r="D522" s="3022">
        <v>2509</v>
      </c>
      <c r="E522" s="3022">
        <v>62.31</v>
      </c>
      <c r="F522" s="3022" t="s">
        <v>3390</v>
      </c>
    </row>
    <row r="523" spans="1:6">
      <c r="A523" s="3022">
        <v>440</v>
      </c>
      <c r="B523" s="3022" t="s">
        <v>3386</v>
      </c>
      <c r="C523" s="3022" t="s">
        <v>3082</v>
      </c>
      <c r="D523" s="3022">
        <v>2510</v>
      </c>
      <c r="E523" s="3022">
        <v>63</v>
      </c>
      <c r="F523" s="3022" t="s">
        <v>3390</v>
      </c>
    </row>
    <row r="524" spans="1:6">
      <c r="A524" s="3022">
        <v>441</v>
      </c>
      <c r="B524" s="3022" t="s">
        <v>3386</v>
      </c>
      <c r="C524" s="3023" t="s">
        <v>3082</v>
      </c>
      <c r="D524" s="3022">
        <v>2511</v>
      </c>
      <c r="E524" s="3022">
        <v>64.5</v>
      </c>
      <c r="F524" s="3022" t="s">
        <v>3390</v>
      </c>
    </row>
    <row r="525" spans="1:6">
      <c r="A525" s="3022">
        <v>442</v>
      </c>
      <c r="B525" s="3022" t="s">
        <v>3386</v>
      </c>
      <c r="C525" s="3022" t="s">
        <v>3082</v>
      </c>
      <c r="D525" s="3022">
        <v>2512</v>
      </c>
      <c r="E525" s="3022">
        <v>65.94</v>
      </c>
      <c r="F525" s="3022" t="s">
        <v>3390</v>
      </c>
    </row>
    <row r="526" spans="1:6">
      <c r="A526" s="3022">
        <v>443</v>
      </c>
      <c r="B526" s="3022" t="s">
        <v>3386</v>
      </c>
      <c r="C526" s="3023" t="s">
        <v>3082</v>
      </c>
      <c r="D526" s="3022">
        <v>2513</v>
      </c>
      <c r="E526" s="3022">
        <v>63.92</v>
      </c>
      <c r="F526" s="3022" t="s">
        <v>3390</v>
      </c>
    </row>
    <row r="527" spans="1:6">
      <c r="A527" s="3022">
        <v>444</v>
      </c>
      <c r="B527" s="3022" t="s">
        <v>3386</v>
      </c>
      <c r="C527" s="3022" t="s">
        <v>3082</v>
      </c>
      <c r="D527" s="3022">
        <v>2514</v>
      </c>
      <c r="E527" s="3022">
        <v>75.81</v>
      </c>
      <c r="F527" s="3022" t="s">
        <v>3390</v>
      </c>
    </row>
    <row r="528" spans="1:6">
      <c r="A528" s="3022">
        <v>445</v>
      </c>
      <c r="B528" s="3022" t="s">
        <v>3386</v>
      </c>
      <c r="C528" s="3023" t="s">
        <v>3082</v>
      </c>
      <c r="D528" s="3022">
        <v>2515</v>
      </c>
      <c r="E528" s="3022">
        <v>69.88</v>
      </c>
      <c r="F528" s="3022" t="s">
        <v>3390</v>
      </c>
    </row>
    <row r="529" spans="1:6">
      <c r="A529" s="3022">
        <v>446</v>
      </c>
      <c r="B529" s="3022" t="s">
        <v>3386</v>
      </c>
      <c r="C529" s="3022" t="s">
        <v>3082</v>
      </c>
      <c r="D529" s="3022">
        <v>2516</v>
      </c>
      <c r="E529" s="3022">
        <v>67.42</v>
      </c>
      <c r="F529" s="3022" t="s">
        <v>3390</v>
      </c>
    </row>
    <row r="530" spans="1:6">
      <c r="A530" s="3022">
        <v>447</v>
      </c>
      <c r="B530" s="3022" t="s">
        <v>3386</v>
      </c>
      <c r="C530" s="3023" t="s">
        <v>3082</v>
      </c>
      <c r="D530" s="3022">
        <v>2517</v>
      </c>
      <c r="E530" s="3022">
        <v>68.25</v>
      </c>
      <c r="F530" s="3022" t="s">
        <v>3390</v>
      </c>
    </row>
    <row r="531" spans="1:6">
      <c r="A531" s="3022">
        <v>448</v>
      </c>
      <c r="B531" s="3022" t="s">
        <v>3386</v>
      </c>
      <c r="C531" s="3022" t="s">
        <v>3082</v>
      </c>
      <c r="D531" s="3022">
        <v>2518</v>
      </c>
      <c r="E531" s="3022">
        <v>69.11</v>
      </c>
      <c r="F531" s="3022" t="s">
        <v>3390</v>
      </c>
    </row>
    <row r="532" spans="1:6">
      <c r="A532" s="3022">
        <v>449</v>
      </c>
      <c r="B532" s="3022" t="s">
        <v>3386</v>
      </c>
      <c r="C532" s="3023" t="s">
        <v>3082</v>
      </c>
      <c r="D532" s="3022">
        <v>2519</v>
      </c>
      <c r="E532" s="3022">
        <v>70.67</v>
      </c>
      <c r="F532" s="3022" t="s">
        <v>3390</v>
      </c>
    </row>
    <row r="533" spans="1:6">
      <c r="A533" s="3022">
        <v>450</v>
      </c>
      <c r="B533" s="3022" t="s">
        <v>3386</v>
      </c>
      <c r="C533" s="3022" t="s">
        <v>3082</v>
      </c>
      <c r="D533" s="3022">
        <v>2520</v>
      </c>
      <c r="E533" s="3022">
        <v>73.25</v>
      </c>
      <c r="F533" s="3022" t="s">
        <v>3390</v>
      </c>
    </row>
    <row r="534" spans="1:6">
      <c r="A534" s="3022">
        <v>451</v>
      </c>
      <c r="B534" s="3022" t="s">
        <v>3386</v>
      </c>
      <c r="C534" s="3023" t="s">
        <v>3082</v>
      </c>
      <c r="D534" s="3022">
        <v>2521</v>
      </c>
      <c r="E534" s="3022">
        <v>71.53</v>
      </c>
      <c r="F534" s="3022" t="s">
        <v>3390</v>
      </c>
    </row>
    <row r="535" spans="1:6">
      <c r="A535" s="3022">
        <v>452</v>
      </c>
      <c r="B535" s="3022" t="s">
        <v>3386</v>
      </c>
      <c r="C535" s="3022" t="s">
        <v>3082</v>
      </c>
      <c r="D535" s="3022">
        <v>2522</v>
      </c>
      <c r="E535" s="3022">
        <v>64.290000000000006</v>
      </c>
      <c r="F535" s="3022" t="s">
        <v>3390</v>
      </c>
    </row>
    <row r="536" spans="1:6">
      <c r="A536" s="3022">
        <v>453</v>
      </c>
      <c r="B536" s="3022" t="s">
        <v>3386</v>
      </c>
      <c r="C536" s="3023" t="s">
        <v>3082</v>
      </c>
      <c r="D536" s="3022">
        <v>2523</v>
      </c>
      <c r="E536" s="3022">
        <v>59.07</v>
      </c>
      <c r="F536" s="3022" t="s">
        <v>3390</v>
      </c>
    </row>
    <row r="537" spans="1:6">
      <c r="A537" s="3022">
        <v>454</v>
      </c>
      <c r="B537" s="3022" t="s">
        <v>3386</v>
      </c>
      <c r="C537" s="3022" t="s">
        <v>3082</v>
      </c>
      <c r="D537" s="3022">
        <v>2524</v>
      </c>
      <c r="E537" s="3022">
        <v>58.01</v>
      </c>
      <c r="F537" s="3022" t="s">
        <v>3390</v>
      </c>
    </row>
    <row r="538" spans="1:6">
      <c r="A538" s="3022">
        <v>455</v>
      </c>
      <c r="B538" s="3022" t="s">
        <v>3386</v>
      </c>
      <c r="C538" s="3023" t="s">
        <v>3082</v>
      </c>
      <c r="D538" s="3022">
        <v>2525</v>
      </c>
      <c r="E538" s="3022">
        <v>66.94</v>
      </c>
      <c r="F538" s="3022" t="s">
        <v>3390</v>
      </c>
    </row>
    <row r="539" spans="1:6">
      <c r="A539" s="3022">
        <v>456</v>
      </c>
      <c r="B539" s="3022" t="s">
        <v>3386</v>
      </c>
      <c r="C539" s="3022" t="s">
        <v>3082</v>
      </c>
      <c r="D539" s="3022">
        <v>2526</v>
      </c>
      <c r="E539" s="3022">
        <v>56.59</v>
      </c>
      <c r="F539" s="3022" t="s">
        <v>3390</v>
      </c>
    </row>
    <row r="540" spans="1:6">
      <c r="A540" s="3022">
        <v>457</v>
      </c>
      <c r="B540" s="3022" t="s">
        <v>3386</v>
      </c>
      <c r="C540" s="3023" t="s">
        <v>3082</v>
      </c>
      <c r="D540" s="3022">
        <v>2527</v>
      </c>
      <c r="E540" s="3022">
        <v>58.41</v>
      </c>
      <c r="F540" s="3022" t="s">
        <v>3390</v>
      </c>
    </row>
    <row r="541" spans="1:6">
      <c r="A541" s="3022">
        <v>458</v>
      </c>
      <c r="B541" s="3022" t="s">
        <v>3386</v>
      </c>
      <c r="C541" s="3022" t="s">
        <v>3082</v>
      </c>
      <c r="D541" s="3022">
        <v>2528</v>
      </c>
      <c r="E541" s="3022">
        <v>64.13</v>
      </c>
      <c r="F541" s="3022" t="s">
        <v>3390</v>
      </c>
    </row>
    <row r="542" spans="1:6">
      <c r="A542" s="3022">
        <v>459</v>
      </c>
      <c r="B542" s="3022" t="s">
        <v>3386</v>
      </c>
      <c r="C542" s="3023" t="s">
        <v>3082</v>
      </c>
      <c r="D542" s="3022">
        <v>2529</v>
      </c>
      <c r="E542" s="3022">
        <v>57.45</v>
      </c>
      <c r="F542" s="3022" t="s">
        <v>3390</v>
      </c>
    </row>
    <row r="543" spans="1:6">
      <c r="A543" s="3022">
        <v>460</v>
      </c>
      <c r="B543" s="3022" t="s">
        <v>3386</v>
      </c>
      <c r="C543" s="3022" t="s">
        <v>3082</v>
      </c>
      <c r="D543" s="3022">
        <v>2530</v>
      </c>
      <c r="E543" s="3022">
        <v>57.33</v>
      </c>
      <c r="F543" s="3022" t="s">
        <v>3390</v>
      </c>
    </row>
    <row r="544" spans="1:6">
      <c r="A544" s="3022">
        <v>461</v>
      </c>
      <c r="B544" s="3022" t="s">
        <v>3386</v>
      </c>
      <c r="C544" s="3023" t="s">
        <v>3082</v>
      </c>
      <c r="D544" s="3022">
        <v>2531</v>
      </c>
      <c r="E544" s="3022">
        <v>56.44</v>
      </c>
      <c r="F544" s="3022" t="s">
        <v>3390</v>
      </c>
    </row>
    <row r="545" spans="1:6">
      <c r="A545" s="3022">
        <v>462</v>
      </c>
      <c r="B545" s="3022" t="s">
        <v>3386</v>
      </c>
      <c r="C545" s="3022" t="s">
        <v>3082</v>
      </c>
      <c r="D545" s="3022">
        <v>2532</v>
      </c>
      <c r="E545" s="3022">
        <v>55.78</v>
      </c>
      <c r="F545" s="3022" t="s">
        <v>3390</v>
      </c>
    </row>
    <row r="546" spans="1:6">
      <c r="A546" s="3022">
        <v>463</v>
      </c>
      <c r="B546" s="3022" t="s">
        <v>3386</v>
      </c>
      <c r="C546" s="3023" t="s">
        <v>3082</v>
      </c>
      <c r="D546" s="3022">
        <v>2533</v>
      </c>
      <c r="E546" s="3022">
        <v>55.05</v>
      </c>
      <c r="F546" s="3022" t="s">
        <v>3390</v>
      </c>
    </row>
    <row r="547" spans="1:6">
      <c r="A547" s="3022">
        <v>464</v>
      </c>
      <c r="B547" s="3022" t="s">
        <v>3386</v>
      </c>
      <c r="C547" s="3022" t="s">
        <v>3082</v>
      </c>
      <c r="D547" s="3022">
        <v>2534</v>
      </c>
      <c r="E547" s="3022">
        <v>55.51</v>
      </c>
      <c r="F547" s="3022" t="s">
        <v>3390</v>
      </c>
    </row>
    <row r="548" spans="1:6">
      <c r="A548" s="3022">
        <v>465</v>
      </c>
      <c r="B548" s="3022" t="s">
        <v>3386</v>
      </c>
      <c r="C548" s="3023" t="s">
        <v>3082</v>
      </c>
      <c r="D548" s="3022">
        <v>2535</v>
      </c>
      <c r="E548" s="3022">
        <v>55.18</v>
      </c>
      <c r="F548" s="3022" t="s">
        <v>3390</v>
      </c>
    </row>
    <row r="549" spans="1:6">
      <c r="A549" s="3022">
        <v>466</v>
      </c>
      <c r="B549" s="3022" t="s">
        <v>3386</v>
      </c>
      <c r="C549" s="3022" t="s">
        <v>3082</v>
      </c>
      <c r="D549" s="3022">
        <v>2601</v>
      </c>
      <c r="E549" s="3022">
        <v>68.05</v>
      </c>
      <c r="F549" s="3022" t="s">
        <v>3390</v>
      </c>
    </row>
    <row r="550" spans="1:6">
      <c r="A550" s="3022">
        <v>467</v>
      </c>
      <c r="B550" s="3022" t="s">
        <v>3386</v>
      </c>
      <c r="C550" s="3023" t="s">
        <v>3082</v>
      </c>
      <c r="D550" s="3022">
        <v>2602</v>
      </c>
      <c r="E550" s="3022">
        <v>47.59</v>
      </c>
      <c r="F550" s="3022" t="s">
        <v>3390</v>
      </c>
    </row>
    <row r="551" spans="1:6">
      <c r="A551" s="3022">
        <v>468</v>
      </c>
      <c r="B551" s="3022" t="s">
        <v>3386</v>
      </c>
      <c r="C551" s="3022" t="s">
        <v>3082</v>
      </c>
      <c r="D551" s="3022">
        <v>2603</v>
      </c>
      <c r="E551" s="3022">
        <v>52.4</v>
      </c>
      <c r="F551" s="3022" t="s">
        <v>3390</v>
      </c>
    </row>
    <row r="552" spans="1:6">
      <c r="A552" s="3022">
        <v>469</v>
      </c>
      <c r="B552" s="3022" t="s">
        <v>3386</v>
      </c>
      <c r="C552" s="3023" t="s">
        <v>3082</v>
      </c>
      <c r="D552" s="3022">
        <v>2604</v>
      </c>
      <c r="E552" s="3022">
        <v>56.57</v>
      </c>
      <c r="F552" s="3022" t="s">
        <v>3390</v>
      </c>
    </row>
    <row r="553" spans="1:6">
      <c r="A553" s="3022">
        <v>470</v>
      </c>
      <c r="B553" s="3022" t="s">
        <v>3386</v>
      </c>
      <c r="C553" s="3022" t="s">
        <v>3082</v>
      </c>
      <c r="D553" s="3022">
        <v>2605</v>
      </c>
      <c r="E553" s="3022">
        <v>59.91</v>
      </c>
      <c r="F553" s="3022" t="s">
        <v>3390</v>
      </c>
    </row>
    <row r="554" spans="1:6">
      <c r="A554" s="3022">
        <v>471</v>
      </c>
      <c r="B554" s="3022" t="s">
        <v>3386</v>
      </c>
      <c r="C554" s="3023" t="s">
        <v>3082</v>
      </c>
      <c r="D554" s="3022">
        <v>2606</v>
      </c>
      <c r="E554" s="3022">
        <v>61.66</v>
      </c>
      <c r="F554" s="3022" t="s">
        <v>3390</v>
      </c>
    </row>
    <row r="555" spans="1:6">
      <c r="A555" s="3022">
        <v>472</v>
      </c>
      <c r="B555" s="3022" t="s">
        <v>3386</v>
      </c>
      <c r="C555" s="3022" t="s">
        <v>3082</v>
      </c>
      <c r="D555" s="3022">
        <v>2607</v>
      </c>
      <c r="E555" s="3022">
        <v>61.94</v>
      </c>
      <c r="F555" s="3022" t="s">
        <v>3390</v>
      </c>
    </row>
    <row r="556" spans="1:6">
      <c r="A556" s="3022">
        <v>473</v>
      </c>
      <c r="B556" s="3022" t="s">
        <v>3386</v>
      </c>
      <c r="C556" s="3023" t="s">
        <v>3082</v>
      </c>
      <c r="D556" s="3022">
        <v>2608</v>
      </c>
      <c r="E556" s="3022">
        <v>61.98</v>
      </c>
      <c r="F556" s="3022" t="s">
        <v>3390</v>
      </c>
    </row>
    <row r="557" spans="1:6">
      <c r="A557" s="3022">
        <v>474</v>
      </c>
      <c r="B557" s="3022" t="s">
        <v>3386</v>
      </c>
      <c r="C557" s="3022" t="s">
        <v>3082</v>
      </c>
      <c r="D557" s="3022">
        <v>2609</v>
      </c>
      <c r="E557" s="3022">
        <v>62.31</v>
      </c>
      <c r="F557" s="3022" t="s">
        <v>3390</v>
      </c>
    </row>
    <row r="558" spans="1:6">
      <c r="A558" s="3022">
        <v>475</v>
      </c>
      <c r="B558" s="3022" t="s">
        <v>3386</v>
      </c>
      <c r="C558" s="3023" t="s">
        <v>3082</v>
      </c>
      <c r="D558" s="3022">
        <v>2610</v>
      </c>
      <c r="E558" s="3022">
        <v>63</v>
      </c>
      <c r="F558" s="3022" t="s">
        <v>3390</v>
      </c>
    </row>
    <row r="559" spans="1:6">
      <c r="A559" s="3022">
        <v>476</v>
      </c>
      <c r="B559" s="3022" t="s">
        <v>3386</v>
      </c>
      <c r="C559" s="3022" t="s">
        <v>3082</v>
      </c>
      <c r="D559" s="3022">
        <v>2611</v>
      </c>
      <c r="E559" s="3022">
        <v>64.5</v>
      </c>
      <c r="F559" s="3022" t="s">
        <v>3390</v>
      </c>
    </row>
    <row r="560" spans="1:6">
      <c r="A560" s="3022">
        <v>477</v>
      </c>
      <c r="B560" s="3022" t="s">
        <v>3386</v>
      </c>
      <c r="C560" s="3023" t="s">
        <v>3082</v>
      </c>
      <c r="D560" s="3022">
        <v>2612</v>
      </c>
      <c r="E560" s="3022">
        <v>65.94</v>
      </c>
      <c r="F560" s="3022" t="s">
        <v>3390</v>
      </c>
    </row>
    <row r="561" spans="1:6">
      <c r="A561" s="3022">
        <v>478</v>
      </c>
      <c r="B561" s="3022" t="s">
        <v>3386</v>
      </c>
      <c r="C561" s="3022" t="s">
        <v>3082</v>
      </c>
      <c r="D561" s="3022">
        <v>2613</v>
      </c>
      <c r="E561" s="3022">
        <v>63.92</v>
      </c>
      <c r="F561" s="3022" t="s">
        <v>3390</v>
      </c>
    </row>
    <row r="562" spans="1:6">
      <c r="A562" s="3022">
        <v>479</v>
      </c>
      <c r="B562" s="3022" t="s">
        <v>3386</v>
      </c>
      <c r="C562" s="3023" t="s">
        <v>3082</v>
      </c>
      <c r="D562" s="3022">
        <v>2614</v>
      </c>
      <c r="E562" s="3022">
        <v>75.81</v>
      </c>
      <c r="F562" s="3022" t="s">
        <v>3390</v>
      </c>
    </row>
    <row r="563" spans="1:6">
      <c r="A563" s="3022">
        <v>480</v>
      </c>
      <c r="B563" s="3022" t="s">
        <v>3386</v>
      </c>
      <c r="C563" s="3022" t="s">
        <v>3082</v>
      </c>
      <c r="D563" s="3022">
        <v>2615</v>
      </c>
      <c r="E563" s="3022">
        <v>69.88</v>
      </c>
      <c r="F563" s="3022" t="s">
        <v>3390</v>
      </c>
    </row>
    <row r="564" spans="1:6">
      <c r="A564" s="3022">
        <v>481</v>
      </c>
      <c r="B564" s="3022" t="s">
        <v>3386</v>
      </c>
      <c r="C564" s="3023" t="s">
        <v>3082</v>
      </c>
      <c r="D564" s="3022">
        <v>2616</v>
      </c>
      <c r="E564" s="3022">
        <v>67.42</v>
      </c>
      <c r="F564" s="3022" t="s">
        <v>3390</v>
      </c>
    </row>
    <row r="565" spans="1:6">
      <c r="A565" s="3022">
        <v>482</v>
      </c>
      <c r="B565" s="3022" t="s">
        <v>3386</v>
      </c>
      <c r="C565" s="3022" t="s">
        <v>3082</v>
      </c>
      <c r="D565" s="3022">
        <v>2617</v>
      </c>
      <c r="E565" s="3022">
        <v>68.25</v>
      </c>
      <c r="F565" s="3022" t="s">
        <v>3390</v>
      </c>
    </row>
    <row r="566" spans="1:6">
      <c r="A566" s="3022">
        <v>483</v>
      </c>
      <c r="B566" s="3022" t="s">
        <v>3386</v>
      </c>
      <c r="C566" s="3023" t="s">
        <v>3082</v>
      </c>
      <c r="D566" s="3022">
        <v>2618</v>
      </c>
      <c r="E566" s="3022">
        <v>69.11</v>
      </c>
      <c r="F566" s="3022" t="s">
        <v>3390</v>
      </c>
    </row>
    <row r="567" spans="1:6">
      <c r="A567" s="3022">
        <v>484</v>
      </c>
      <c r="B567" s="3022" t="s">
        <v>3386</v>
      </c>
      <c r="C567" s="3022" t="s">
        <v>3082</v>
      </c>
      <c r="D567" s="3022">
        <v>2619</v>
      </c>
      <c r="E567" s="3022">
        <v>70.67</v>
      </c>
      <c r="F567" s="3022" t="s">
        <v>3390</v>
      </c>
    </row>
    <row r="568" spans="1:6">
      <c r="A568" s="3022">
        <v>485</v>
      </c>
      <c r="B568" s="3022" t="s">
        <v>3386</v>
      </c>
      <c r="C568" s="3023" t="s">
        <v>3082</v>
      </c>
      <c r="D568" s="3022">
        <v>2620</v>
      </c>
      <c r="E568" s="3022">
        <v>73.25</v>
      </c>
      <c r="F568" s="3022" t="s">
        <v>3390</v>
      </c>
    </row>
    <row r="569" spans="1:6">
      <c r="A569" s="3022">
        <v>486</v>
      </c>
      <c r="B569" s="3022" t="s">
        <v>3386</v>
      </c>
      <c r="C569" s="3022" t="s">
        <v>3082</v>
      </c>
      <c r="D569" s="3022">
        <v>2621</v>
      </c>
      <c r="E569" s="3022">
        <v>71.53</v>
      </c>
      <c r="F569" s="3022" t="s">
        <v>3390</v>
      </c>
    </row>
    <row r="570" spans="1:6">
      <c r="A570" s="3022">
        <v>487</v>
      </c>
      <c r="B570" s="3022" t="s">
        <v>3386</v>
      </c>
      <c r="C570" s="3023" t="s">
        <v>3082</v>
      </c>
      <c r="D570" s="3022">
        <v>2622</v>
      </c>
      <c r="E570" s="3022">
        <v>64.290000000000006</v>
      </c>
      <c r="F570" s="3022" t="s">
        <v>3390</v>
      </c>
    </row>
    <row r="571" spans="1:6">
      <c r="A571" s="3022">
        <v>488</v>
      </c>
      <c r="B571" s="3022" t="s">
        <v>3386</v>
      </c>
      <c r="C571" s="3022" t="s">
        <v>3082</v>
      </c>
      <c r="D571" s="3022">
        <v>2623</v>
      </c>
      <c r="E571" s="3022">
        <v>59.07</v>
      </c>
      <c r="F571" s="3022" t="s">
        <v>3390</v>
      </c>
    </row>
    <row r="572" spans="1:6">
      <c r="A572" s="3022">
        <v>489</v>
      </c>
      <c r="B572" s="3022" t="s">
        <v>3386</v>
      </c>
      <c r="C572" s="3023" t="s">
        <v>3082</v>
      </c>
      <c r="D572" s="3022">
        <v>2624</v>
      </c>
      <c r="E572" s="3022">
        <v>58.01</v>
      </c>
      <c r="F572" s="3022" t="s">
        <v>3390</v>
      </c>
    </row>
    <row r="573" spans="1:6">
      <c r="A573" s="3022">
        <v>490</v>
      </c>
      <c r="B573" s="3022" t="s">
        <v>3386</v>
      </c>
      <c r="C573" s="3022" t="s">
        <v>3082</v>
      </c>
      <c r="D573" s="3022">
        <v>2625</v>
      </c>
      <c r="E573" s="3022">
        <v>66.94</v>
      </c>
      <c r="F573" s="3022" t="s">
        <v>3390</v>
      </c>
    </row>
    <row r="574" spans="1:6">
      <c r="A574" s="3022">
        <v>491</v>
      </c>
      <c r="B574" s="3022" t="s">
        <v>3386</v>
      </c>
      <c r="C574" s="3023" t="s">
        <v>3082</v>
      </c>
      <c r="D574" s="3022">
        <v>2626</v>
      </c>
      <c r="E574" s="3022">
        <v>56.59</v>
      </c>
      <c r="F574" s="3022" t="s">
        <v>3390</v>
      </c>
    </row>
    <row r="575" spans="1:6">
      <c r="A575" s="3022">
        <v>492</v>
      </c>
      <c r="B575" s="3022" t="s">
        <v>3386</v>
      </c>
      <c r="C575" s="3022" t="s">
        <v>3082</v>
      </c>
      <c r="D575" s="3022">
        <v>2627</v>
      </c>
      <c r="E575" s="3022">
        <v>58.41</v>
      </c>
      <c r="F575" s="3022" t="s">
        <v>3390</v>
      </c>
    </row>
    <row r="576" spans="1:6">
      <c r="A576" s="3022">
        <v>493</v>
      </c>
      <c r="B576" s="3022" t="s">
        <v>3386</v>
      </c>
      <c r="C576" s="3023" t="s">
        <v>3082</v>
      </c>
      <c r="D576" s="3022">
        <v>2628</v>
      </c>
      <c r="E576" s="3022">
        <v>64.13</v>
      </c>
      <c r="F576" s="3022" t="s">
        <v>3390</v>
      </c>
    </row>
    <row r="577" spans="1:6">
      <c r="A577" s="3022">
        <v>494</v>
      </c>
      <c r="B577" s="3022" t="s">
        <v>3386</v>
      </c>
      <c r="C577" s="3022" t="s">
        <v>3082</v>
      </c>
      <c r="D577" s="3022">
        <v>2629</v>
      </c>
      <c r="E577" s="3022">
        <v>57.45</v>
      </c>
      <c r="F577" s="3022" t="s">
        <v>3390</v>
      </c>
    </row>
    <row r="578" spans="1:6">
      <c r="A578" s="3022">
        <v>495</v>
      </c>
      <c r="B578" s="3022" t="s">
        <v>3386</v>
      </c>
      <c r="C578" s="3023" t="s">
        <v>3082</v>
      </c>
      <c r="D578" s="3022">
        <v>2630</v>
      </c>
      <c r="E578" s="3022">
        <v>57.33</v>
      </c>
      <c r="F578" s="3022" t="s">
        <v>3390</v>
      </c>
    </row>
    <row r="579" spans="1:6">
      <c r="A579" s="3022">
        <v>496</v>
      </c>
      <c r="B579" s="3022" t="s">
        <v>3386</v>
      </c>
      <c r="C579" s="3022" t="s">
        <v>3082</v>
      </c>
      <c r="D579" s="3022">
        <v>2631</v>
      </c>
      <c r="E579" s="3022">
        <v>56.44</v>
      </c>
      <c r="F579" s="3022" t="s">
        <v>3390</v>
      </c>
    </row>
    <row r="580" spans="1:6">
      <c r="A580" s="3022">
        <v>497</v>
      </c>
      <c r="B580" s="3022" t="s">
        <v>3386</v>
      </c>
      <c r="C580" s="3023" t="s">
        <v>3082</v>
      </c>
      <c r="D580" s="3022">
        <v>2632</v>
      </c>
      <c r="E580" s="3022">
        <v>55.78</v>
      </c>
      <c r="F580" s="3022" t="s">
        <v>3390</v>
      </c>
    </row>
    <row r="581" spans="1:6">
      <c r="A581" s="3022">
        <v>498</v>
      </c>
      <c r="B581" s="3022" t="s">
        <v>3386</v>
      </c>
      <c r="C581" s="3022" t="s">
        <v>3082</v>
      </c>
      <c r="D581" s="3022">
        <v>2633</v>
      </c>
      <c r="E581" s="3022">
        <v>55.05</v>
      </c>
      <c r="F581" s="3022" t="s">
        <v>3390</v>
      </c>
    </row>
    <row r="582" spans="1:6">
      <c r="A582" s="3022">
        <v>499</v>
      </c>
      <c r="B582" s="3022" t="s">
        <v>3386</v>
      </c>
      <c r="C582" s="3023" t="s">
        <v>3082</v>
      </c>
      <c r="D582" s="3022">
        <v>2634</v>
      </c>
      <c r="E582" s="3022">
        <v>55.51</v>
      </c>
      <c r="F582" s="3022" t="s">
        <v>3390</v>
      </c>
    </row>
    <row r="583" spans="1:6">
      <c r="A583" s="3022">
        <v>500</v>
      </c>
      <c r="B583" s="3022" t="s">
        <v>3386</v>
      </c>
      <c r="C583" s="3022" t="s">
        <v>3082</v>
      </c>
      <c r="D583" s="3022">
        <v>2635</v>
      </c>
      <c r="E583" s="3022">
        <v>55.18</v>
      </c>
      <c r="F583" s="3022" t="s">
        <v>3390</v>
      </c>
    </row>
    <row r="584" spans="1:6">
      <c r="A584" s="3022">
        <v>501</v>
      </c>
      <c r="B584" s="3022" t="s">
        <v>3386</v>
      </c>
      <c r="C584" s="3023" t="s">
        <v>3082</v>
      </c>
      <c r="D584" s="3022">
        <v>2701</v>
      </c>
      <c r="E584" s="3022">
        <v>68.05</v>
      </c>
      <c r="F584" s="3022" t="s">
        <v>3390</v>
      </c>
    </row>
    <row r="585" spans="1:6">
      <c r="A585" s="3022">
        <v>502</v>
      </c>
      <c r="B585" s="3022" t="s">
        <v>3386</v>
      </c>
      <c r="C585" s="3022" t="s">
        <v>3082</v>
      </c>
      <c r="D585" s="3022">
        <v>2702</v>
      </c>
      <c r="E585" s="3022">
        <v>47.59</v>
      </c>
      <c r="F585" s="3022" t="s">
        <v>3390</v>
      </c>
    </row>
    <row r="586" spans="1:6">
      <c r="A586" s="3022">
        <v>503</v>
      </c>
      <c r="B586" s="3022" t="s">
        <v>3386</v>
      </c>
      <c r="C586" s="3023" t="s">
        <v>3082</v>
      </c>
      <c r="D586" s="3022">
        <v>2703</v>
      </c>
      <c r="E586" s="3022">
        <v>52.4</v>
      </c>
      <c r="F586" s="3022" t="s">
        <v>3390</v>
      </c>
    </row>
    <row r="587" spans="1:6">
      <c r="A587" s="3022">
        <v>504</v>
      </c>
      <c r="B587" s="3022" t="s">
        <v>3386</v>
      </c>
      <c r="C587" s="3022" t="s">
        <v>3082</v>
      </c>
      <c r="D587" s="3022">
        <v>2704</v>
      </c>
      <c r="E587" s="3022">
        <v>56.57</v>
      </c>
      <c r="F587" s="3022" t="s">
        <v>3390</v>
      </c>
    </row>
    <row r="588" spans="1:6">
      <c r="A588" s="3022">
        <v>505</v>
      </c>
      <c r="B588" s="3022" t="s">
        <v>3386</v>
      </c>
      <c r="C588" s="3023" t="s">
        <v>3082</v>
      </c>
      <c r="D588" s="3022">
        <v>2705</v>
      </c>
      <c r="E588" s="3022">
        <v>59.91</v>
      </c>
      <c r="F588" s="3022" t="s">
        <v>3390</v>
      </c>
    </row>
    <row r="589" spans="1:6">
      <c r="A589" s="3022">
        <v>506</v>
      </c>
      <c r="B589" s="3022" t="s">
        <v>3386</v>
      </c>
      <c r="C589" s="3022" t="s">
        <v>3082</v>
      </c>
      <c r="D589" s="3022">
        <v>2706</v>
      </c>
      <c r="E589" s="3022">
        <v>61.66</v>
      </c>
      <c r="F589" s="3022" t="s">
        <v>3390</v>
      </c>
    </row>
    <row r="590" spans="1:6">
      <c r="A590" s="3022">
        <v>507</v>
      </c>
      <c r="B590" s="3022" t="s">
        <v>3386</v>
      </c>
      <c r="C590" s="3023" t="s">
        <v>3082</v>
      </c>
      <c r="D590" s="3022">
        <v>2707</v>
      </c>
      <c r="E590" s="3022">
        <v>61.94</v>
      </c>
      <c r="F590" s="3022" t="s">
        <v>3390</v>
      </c>
    </row>
    <row r="591" spans="1:6">
      <c r="A591" s="3022">
        <v>508</v>
      </c>
      <c r="B591" s="3022" t="s">
        <v>3386</v>
      </c>
      <c r="C591" s="3022" t="s">
        <v>3082</v>
      </c>
      <c r="D591" s="3022">
        <v>2708</v>
      </c>
      <c r="E591" s="3022">
        <v>61.98</v>
      </c>
      <c r="F591" s="3022" t="s">
        <v>3390</v>
      </c>
    </row>
    <row r="592" spans="1:6">
      <c r="A592" s="3022">
        <v>509</v>
      </c>
      <c r="B592" s="3022" t="s">
        <v>3386</v>
      </c>
      <c r="C592" s="3023" t="s">
        <v>3082</v>
      </c>
      <c r="D592" s="3022">
        <v>2709</v>
      </c>
      <c r="E592" s="3022">
        <v>62.31</v>
      </c>
      <c r="F592" s="3022" t="s">
        <v>3390</v>
      </c>
    </row>
    <row r="593" spans="1:6">
      <c r="A593" s="3022">
        <v>510</v>
      </c>
      <c r="B593" s="3022" t="s">
        <v>3386</v>
      </c>
      <c r="C593" s="3022" t="s">
        <v>3082</v>
      </c>
      <c r="D593" s="3022">
        <v>2710</v>
      </c>
      <c r="E593" s="3022">
        <v>63</v>
      </c>
      <c r="F593" s="3022" t="s">
        <v>3390</v>
      </c>
    </row>
    <row r="594" spans="1:6">
      <c r="A594" s="3022">
        <v>511</v>
      </c>
      <c r="B594" s="3022" t="s">
        <v>3386</v>
      </c>
      <c r="C594" s="3023" t="s">
        <v>3082</v>
      </c>
      <c r="D594" s="3022">
        <v>2711</v>
      </c>
      <c r="E594" s="3022">
        <v>64.5</v>
      </c>
      <c r="F594" s="3022" t="s">
        <v>3390</v>
      </c>
    </row>
    <row r="595" spans="1:6">
      <c r="A595" s="3022">
        <v>512</v>
      </c>
      <c r="B595" s="3022" t="s">
        <v>3386</v>
      </c>
      <c r="C595" s="3022" t="s">
        <v>3082</v>
      </c>
      <c r="D595" s="3022">
        <v>2712</v>
      </c>
      <c r="E595" s="3022">
        <v>65.94</v>
      </c>
      <c r="F595" s="3022" t="s">
        <v>3390</v>
      </c>
    </row>
    <row r="596" spans="1:6">
      <c r="A596" s="3022">
        <v>513</v>
      </c>
      <c r="B596" s="3022" t="s">
        <v>3386</v>
      </c>
      <c r="C596" s="3023" t="s">
        <v>3082</v>
      </c>
      <c r="D596" s="3022">
        <v>2713</v>
      </c>
      <c r="E596" s="3022">
        <v>63.92</v>
      </c>
      <c r="F596" s="3022" t="s">
        <v>3390</v>
      </c>
    </row>
    <row r="597" spans="1:6">
      <c r="A597" s="3022">
        <v>514</v>
      </c>
      <c r="B597" s="3022" t="s">
        <v>3386</v>
      </c>
      <c r="C597" s="3022" t="s">
        <v>3082</v>
      </c>
      <c r="D597" s="3022">
        <v>2714</v>
      </c>
      <c r="E597" s="3022">
        <v>75.81</v>
      </c>
      <c r="F597" s="3022" t="s">
        <v>3390</v>
      </c>
    </row>
    <row r="598" spans="1:6">
      <c r="A598" s="3022">
        <v>515</v>
      </c>
      <c r="B598" s="3022" t="s">
        <v>3386</v>
      </c>
      <c r="C598" s="3023" t="s">
        <v>3082</v>
      </c>
      <c r="D598" s="3022">
        <v>2715</v>
      </c>
      <c r="E598" s="3022">
        <v>69.88</v>
      </c>
      <c r="F598" s="3022" t="s">
        <v>3390</v>
      </c>
    </row>
    <row r="599" spans="1:6">
      <c r="A599" s="3022">
        <v>516</v>
      </c>
      <c r="B599" s="3022" t="s">
        <v>3386</v>
      </c>
      <c r="C599" s="3022" t="s">
        <v>3082</v>
      </c>
      <c r="D599" s="3022">
        <v>2716</v>
      </c>
      <c r="E599" s="3022">
        <v>67.42</v>
      </c>
      <c r="F599" s="3022" t="s">
        <v>3390</v>
      </c>
    </row>
    <row r="600" spans="1:6">
      <c r="A600" s="3022">
        <v>517</v>
      </c>
      <c r="B600" s="3022" t="s">
        <v>3386</v>
      </c>
      <c r="C600" s="3023" t="s">
        <v>3082</v>
      </c>
      <c r="D600" s="3022">
        <v>2717</v>
      </c>
      <c r="E600" s="3022">
        <v>68.25</v>
      </c>
      <c r="F600" s="3022" t="s">
        <v>3390</v>
      </c>
    </row>
    <row r="601" spans="1:6">
      <c r="A601" s="3022">
        <v>518</v>
      </c>
      <c r="B601" s="3022" t="s">
        <v>3386</v>
      </c>
      <c r="C601" s="3022" t="s">
        <v>3082</v>
      </c>
      <c r="D601" s="3022">
        <v>2718</v>
      </c>
      <c r="E601" s="3022">
        <v>69.11</v>
      </c>
      <c r="F601" s="3022" t="s">
        <v>3390</v>
      </c>
    </row>
    <row r="602" spans="1:6">
      <c r="A602" s="3022">
        <v>519</v>
      </c>
      <c r="B602" s="3022" t="s">
        <v>3386</v>
      </c>
      <c r="C602" s="3023" t="s">
        <v>3082</v>
      </c>
      <c r="D602" s="3022">
        <v>2719</v>
      </c>
      <c r="E602" s="3022">
        <v>70.67</v>
      </c>
      <c r="F602" s="3022" t="s">
        <v>3390</v>
      </c>
    </row>
    <row r="603" spans="1:6">
      <c r="A603" s="3022">
        <v>520</v>
      </c>
      <c r="B603" s="3022" t="s">
        <v>3386</v>
      </c>
      <c r="C603" s="3022" t="s">
        <v>3082</v>
      </c>
      <c r="D603" s="3022">
        <v>2720</v>
      </c>
      <c r="E603" s="3022">
        <v>73.25</v>
      </c>
      <c r="F603" s="3022" t="s">
        <v>3390</v>
      </c>
    </row>
    <row r="604" spans="1:6">
      <c r="A604" s="3022">
        <v>521</v>
      </c>
      <c r="B604" s="3022" t="s">
        <v>3386</v>
      </c>
      <c r="C604" s="3023" t="s">
        <v>3082</v>
      </c>
      <c r="D604" s="3022">
        <v>2721</v>
      </c>
      <c r="E604" s="3022">
        <v>71.53</v>
      </c>
      <c r="F604" s="3022" t="s">
        <v>3390</v>
      </c>
    </row>
    <row r="605" spans="1:6">
      <c r="A605" s="3022">
        <v>522</v>
      </c>
      <c r="B605" s="3022" t="s">
        <v>3386</v>
      </c>
      <c r="C605" s="3022" t="s">
        <v>3082</v>
      </c>
      <c r="D605" s="3022">
        <v>2722</v>
      </c>
      <c r="E605" s="3022">
        <v>64.290000000000006</v>
      </c>
      <c r="F605" s="3022" t="s">
        <v>3390</v>
      </c>
    </row>
    <row r="606" spans="1:6">
      <c r="A606" s="3022">
        <v>523</v>
      </c>
      <c r="B606" s="3022" t="s">
        <v>3386</v>
      </c>
      <c r="C606" s="3023" t="s">
        <v>3082</v>
      </c>
      <c r="D606" s="3022">
        <v>2723</v>
      </c>
      <c r="E606" s="3022">
        <v>59.07</v>
      </c>
      <c r="F606" s="3022" t="s">
        <v>3390</v>
      </c>
    </row>
    <row r="607" spans="1:6">
      <c r="A607" s="3022">
        <v>524</v>
      </c>
      <c r="B607" s="3022" t="s">
        <v>3386</v>
      </c>
      <c r="C607" s="3022" t="s">
        <v>3082</v>
      </c>
      <c r="D607" s="3022">
        <v>2724</v>
      </c>
      <c r="E607" s="3022">
        <v>58.01</v>
      </c>
      <c r="F607" s="3022" t="s">
        <v>3390</v>
      </c>
    </row>
    <row r="608" spans="1:6">
      <c r="A608" s="3022">
        <v>525</v>
      </c>
      <c r="B608" s="3022" t="s">
        <v>3386</v>
      </c>
      <c r="C608" s="3023" t="s">
        <v>3082</v>
      </c>
      <c r="D608" s="3022">
        <v>2725</v>
      </c>
      <c r="E608" s="3022">
        <v>66.94</v>
      </c>
      <c r="F608" s="3022" t="s">
        <v>3390</v>
      </c>
    </row>
    <row r="609" spans="1:6">
      <c r="A609" s="3022">
        <v>526</v>
      </c>
      <c r="B609" s="3022" t="s">
        <v>3386</v>
      </c>
      <c r="C609" s="3022" t="s">
        <v>3082</v>
      </c>
      <c r="D609" s="3022">
        <v>2726</v>
      </c>
      <c r="E609" s="3022">
        <v>56.59</v>
      </c>
      <c r="F609" s="3022" t="s">
        <v>3390</v>
      </c>
    </row>
    <row r="610" spans="1:6">
      <c r="A610" s="3022">
        <v>527</v>
      </c>
      <c r="B610" s="3022" t="s">
        <v>3386</v>
      </c>
      <c r="C610" s="3023" t="s">
        <v>3082</v>
      </c>
      <c r="D610" s="3022">
        <v>2727</v>
      </c>
      <c r="E610" s="3022">
        <v>58.41</v>
      </c>
      <c r="F610" s="3022" t="s">
        <v>3390</v>
      </c>
    </row>
    <row r="611" spans="1:6">
      <c r="A611" s="3022">
        <v>528</v>
      </c>
      <c r="B611" s="3022" t="s">
        <v>3386</v>
      </c>
      <c r="C611" s="3022" t="s">
        <v>3082</v>
      </c>
      <c r="D611" s="3022">
        <v>2728</v>
      </c>
      <c r="E611" s="3022">
        <v>64.13</v>
      </c>
      <c r="F611" s="3022" t="s">
        <v>3390</v>
      </c>
    </row>
    <row r="612" spans="1:6">
      <c r="A612" s="3022">
        <v>529</v>
      </c>
      <c r="B612" s="3022" t="s">
        <v>3386</v>
      </c>
      <c r="C612" s="3023" t="s">
        <v>3082</v>
      </c>
      <c r="D612" s="3022">
        <v>2729</v>
      </c>
      <c r="E612" s="3022">
        <v>57.45</v>
      </c>
      <c r="F612" s="3022" t="s">
        <v>3390</v>
      </c>
    </row>
    <row r="613" spans="1:6">
      <c r="A613" s="3022">
        <v>530</v>
      </c>
      <c r="B613" s="3022" t="s">
        <v>3386</v>
      </c>
      <c r="C613" s="3022" t="s">
        <v>3082</v>
      </c>
      <c r="D613" s="3022">
        <v>2730</v>
      </c>
      <c r="E613" s="3022">
        <v>57.33</v>
      </c>
      <c r="F613" s="3022" t="s">
        <v>3390</v>
      </c>
    </row>
    <row r="614" spans="1:6">
      <c r="A614" s="3022">
        <v>531</v>
      </c>
      <c r="B614" s="3022" t="s">
        <v>3386</v>
      </c>
      <c r="C614" s="3023" t="s">
        <v>3082</v>
      </c>
      <c r="D614" s="3022">
        <v>2731</v>
      </c>
      <c r="E614" s="3022">
        <v>56.44</v>
      </c>
      <c r="F614" s="3022" t="s">
        <v>3390</v>
      </c>
    </row>
    <row r="615" spans="1:6">
      <c r="A615" s="3022">
        <v>532</v>
      </c>
      <c r="B615" s="3022" t="s">
        <v>3386</v>
      </c>
      <c r="C615" s="3022" t="s">
        <v>3082</v>
      </c>
      <c r="D615" s="3022">
        <v>2732</v>
      </c>
      <c r="E615" s="3022">
        <v>55.78</v>
      </c>
      <c r="F615" s="3022" t="s">
        <v>3390</v>
      </c>
    </row>
    <row r="616" spans="1:6">
      <c r="A616" s="3022">
        <v>533</v>
      </c>
      <c r="B616" s="3022" t="s">
        <v>3386</v>
      </c>
      <c r="C616" s="3023" t="s">
        <v>3082</v>
      </c>
      <c r="D616" s="3022">
        <v>2733</v>
      </c>
      <c r="E616" s="3022">
        <v>55.05</v>
      </c>
      <c r="F616" s="3022" t="s">
        <v>3390</v>
      </c>
    </row>
    <row r="617" spans="1:6">
      <c r="A617" s="3022">
        <v>534</v>
      </c>
      <c r="B617" s="3022" t="s">
        <v>3386</v>
      </c>
      <c r="C617" s="3022" t="s">
        <v>3082</v>
      </c>
      <c r="D617" s="3022">
        <v>2734</v>
      </c>
      <c r="E617" s="3022">
        <v>55.51</v>
      </c>
      <c r="F617" s="3022" t="s">
        <v>3390</v>
      </c>
    </row>
    <row r="618" spans="1:6">
      <c r="A618" s="3022">
        <v>535</v>
      </c>
      <c r="B618" s="3022" t="s">
        <v>3386</v>
      </c>
      <c r="C618" s="3023" t="s">
        <v>3082</v>
      </c>
      <c r="D618" s="3022">
        <v>2735</v>
      </c>
      <c r="E618" s="3022">
        <v>55.18</v>
      </c>
      <c r="F618" s="3022" t="s">
        <v>3390</v>
      </c>
    </row>
    <row r="619" spans="1:6">
      <c r="A619" s="3022">
        <v>536</v>
      </c>
      <c r="B619" s="3022" t="s">
        <v>3386</v>
      </c>
      <c r="C619" s="3022" t="s">
        <v>3082</v>
      </c>
      <c r="D619" s="3022">
        <v>2801</v>
      </c>
      <c r="E619" s="3022">
        <v>68.05</v>
      </c>
      <c r="F619" s="3022" t="s">
        <v>3390</v>
      </c>
    </row>
    <row r="620" spans="1:6">
      <c r="A620" s="3022">
        <v>537</v>
      </c>
      <c r="B620" s="3022" t="s">
        <v>3386</v>
      </c>
      <c r="C620" s="3023" t="s">
        <v>3082</v>
      </c>
      <c r="D620" s="3022">
        <v>2802</v>
      </c>
      <c r="E620" s="3022">
        <v>47.59</v>
      </c>
      <c r="F620" s="3022" t="s">
        <v>3390</v>
      </c>
    </row>
    <row r="621" spans="1:6">
      <c r="A621" s="3022">
        <v>538</v>
      </c>
      <c r="B621" s="3022" t="s">
        <v>3386</v>
      </c>
      <c r="C621" s="3022" t="s">
        <v>3082</v>
      </c>
      <c r="D621" s="3022">
        <v>2803</v>
      </c>
      <c r="E621" s="3022">
        <v>52.4</v>
      </c>
      <c r="F621" s="3022" t="s">
        <v>3390</v>
      </c>
    </row>
    <row r="622" spans="1:6">
      <c r="A622" s="3022">
        <v>539</v>
      </c>
      <c r="B622" s="3022" t="s">
        <v>3386</v>
      </c>
      <c r="C622" s="3023" t="s">
        <v>3082</v>
      </c>
      <c r="D622" s="3022">
        <v>2804</v>
      </c>
      <c r="E622" s="3022">
        <v>56.57</v>
      </c>
      <c r="F622" s="3022" t="s">
        <v>3390</v>
      </c>
    </row>
    <row r="623" spans="1:6">
      <c r="A623" s="3022">
        <v>540</v>
      </c>
      <c r="B623" s="3022" t="s">
        <v>3386</v>
      </c>
      <c r="C623" s="3022" t="s">
        <v>3082</v>
      </c>
      <c r="D623" s="3022">
        <v>2805</v>
      </c>
      <c r="E623" s="3022">
        <v>59.91</v>
      </c>
      <c r="F623" s="3022" t="s">
        <v>3390</v>
      </c>
    </row>
    <row r="624" spans="1:6">
      <c r="A624" s="3022">
        <v>541</v>
      </c>
      <c r="B624" s="3022" t="s">
        <v>3386</v>
      </c>
      <c r="C624" s="3023" t="s">
        <v>3082</v>
      </c>
      <c r="D624" s="3022">
        <v>2806</v>
      </c>
      <c r="E624" s="3022">
        <v>61.66</v>
      </c>
      <c r="F624" s="3022" t="s">
        <v>3390</v>
      </c>
    </row>
    <row r="625" spans="1:6">
      <c r="A625" s="3022">
        <v>542</v>
      </c>
      <c r="B625" s="3022" t="s">
        <v>3386</v>
      </c>
      <c r="C625" s="3022" t="s">
        <v>3082</v>
      </c>
      <c r="D625" s="3022">
        <v>2807</v>
      </c>
      <c r="E625" s="3022">
        <v>61.94</v>
      </c>
      <c r="F625" s="3022" t="s">
        <v>3390</v>
      </c>
    </row>
    <row r="626" spans="1:6">
      <c r="A626" s="3022">
        <v>543</v>
      </c>
      <c r="B626" s="3022" t="s">
        <v>3386</v>
      </c>
      <c r="C626" s="3023" t="s">
        <v>3082</v>
      </c>
      <c r="D626" s="3022">
        <v>2808</v>
      </c>
      <c r="E626" s="3022">
        <v>61.98</v>
      </c>
      <c r="F626" s="3022" t="s">
        <v>3390</v>
      </c>
    </row>
    <row r="627" spans="1:6">
      <c r="A627" s="3022">
        <v>544</v>
      </c>
      <c r="B627" s="3022" t="s">
        <v>3386</v>
      </c>
      <c r="C627" s="3022" t="s">
        <v>3082</v>
      </c>
      <c r="D627" s="3022">
        <v>2809</v>
      </c>
      <c r="E627" s="3022">
        <v>62.31</v>
      </c>
      <c r="F627" s="3022" t="s">
        <v>3390</v>
      </c>
    </row>
    <row r="628" spans="1:6">
      <c r="A628" s="3022">
        <v>545</v>
      </c>
      <c r="B628" s="3022" t="s">
        <v>3386</v>
      </c>
      <c r="C628" s="3023" t="s">
        <v>3082</v>
      </c>
      <c r="D628" s="3022">
        <v>2810</v>
      </c>
      <c r="E628" s="3022">
        <v>63</v>
      </c>
      <c r="F628" s="3022" t="s">
        <v>3390</v>
      </c>
    </row>
    <row r="629" spans="1:6">
      <c r="A629" s="3022">
        <v>546</v>
      </c>
      <c r="B629" s="3022" t="s">
        <v>3386</v>
      </c>
      <c r="C629" s="3022" t="s">
        <v>3082</v>
      </c>
      <c r="D629" s="3022">
        <v>2811</v>
      </c>
      <c r="E629" s="3022">
        <v>64.5</v>
      </c>
      <c r="F629" s="3022" t="s">
        <v>3390</v>
      </c>
    </row>
    <row r="630" spans="1:6">
      <c r="A630" s="3022">
        <v>547</v>
      </c>
      <c r="B630" s="3022" t="s">
        <v>3386</v>
      </c>
      <c r="C630" s="3023" t="s">
        <v>3082</v>
      </c>
      <c r="D630" s="3022">
        <v>2812</v>
      </c>
      <c r="E630" s="3022">
        <v>65.94</v>
      </c>
      <c r="F630" s="3022" t="s">
        <v>3390</v>
      </c>
    </row>
    <row r="631" spans="1:6">
      <c r="A631" s="3022">
        <v>548</v>
      </c>
      <c r="B631" s="3022" t="s">
        <v>3386</v>
      </c>
      <c r="C631" s="3022" t="s">
        <v>3082</v>
      </c>
      <c r="D631" s="3022">
        <v>2813</v>
      </c>
      <c r="E631" s="3022">
        <v>63.92</v>
      </c>
      <c r="F631" s="3022" t="s">
        <v>3390</v>
      </c>
    </row>
    <row r="632" spans="1:6">
      <c r="A632" s="3022">
        <v>549</v>
      </c>
      <c r="B632" s="3022" t="s">
        <v>3386</v>
      </c>
      <c r="C632" s="3023" t="s">
        <v>3082</v>
      </c>
      <c r="D632" s="3022">
        <v>2814</v>
      </c>
      <c r="E632" s="3022">
        <v>75.81</v>
      </c>
      <c r="F632" s="3022" t="s">
        <v>3390</v>
      </c>
    </row>
    <row r="633" spans="1:6">
      <c r="A633" s="3022">
        <v>550</v>
      </c>
      <c r="B633" s="3022" t="s">
        <v>3386</v>
      </c>
      <c r="C633" s="3022" t="s">
        <v>3082</v>
      </c>
      <c r="D633" s="3022">
        <v>2815</v>
      </c>
      <c r="E633" s="3022">
        <v>69.88</v>
      </c>
      <c r="F633" s="3022" t="s">
        <v>3390</v>
      </c>
    </row>
    <row r="634" spans="1:6">
      <c r="A634" s="3022">
        <v>551</v>
      </c>
      <c r="B634" s="3022" t="s">
        <v>3386</v>
      </c>
      <c r="C634" s="3023" t="s">
        <v>3082</v>
      </c>
      <c r="D634" s="3022">
        <v>2816</v>
      </c>
      <c r="E634" s="3022">
        <v>67.42</v>
      </c>
      <c r="F634" s="3022" t="s">
        <v>3390</v>
      </c>
    </row>
    <row r="635" spans="1:6">
      <c r="A635" s="3022">
        <v>552</v>
      </c>
      <c r="B635" s="3022" t="s">
        <v>3386</v>
      </c>
      <c r="C635" s="3022" t="s">
        <v>3082</v>
      </c>
      <c r="D635" s="3022">
        <v>2817</v>
      </c>
      <c r="E635" s="3022">
        <v>68.25</v>
      </c>
      <c r="F635" s="3022" t="s">
        <v>3390</v>
      </c>
    </row>
    <row r="636" spans="1:6">
      <c r="A636" s="3022">
        <v>553</v>
      </c>
      <c r="B636" s="3022" t="s">
        <v>3386</v>
      </c>
      <c r="C636" s="3023" t="s">
        <v>3082</v>
      </c>
      <c r="D636" s="3022">
        <v>2818</v>
      </c>
      <c r="E636" s="3022">
        <v>69.11</v>
      </c>
      <c r="F636" s="3022" t="s">
        <v>3390</v>
      </c>
    </row>
    <row r="637" spans="1:6">
      <c r="A637" s="3022">
        <v>554</v>
      </c>
      <c r="B637" s="3022" t="s">
        <v>3386</v>
      </c>
      <c r="C637" s="3022" t="s">
        <v>3082</v>
      </c>
      <c r="D637" s="3022">
        <v>2819</v>
      </c>
      <c r="E637" s="3022">
        <v>70.67</v>
      </c>
      <c r="F637" s="3022" t="s">
        <v>3390</v>
      </c>
    </row>
    <row r="638" spans="1:6">
      <c r="A638" s="3022">
        <v>555</v>
      </c>
      <c r="B638" s="3022" t="s">
        <v>3386</v>
      </c>
      <c r="C638" s="3023" t="s">
        <v>3082</v>
      </c>
      <c r="D638" s="3022">
        <v>2820</v>
      </c>
      <c r="E638" s="3022">
        <v>73.25</v>
      </c>
      <c r="F638" s="3022" t="s">
        <v>3390</v>
      </c>
    </row>
    <row r="639" spans="1:6">
      <c r="A639" s="3022">
        <v>556</v>
      </c>
      <c r="B639" s="3022" t="s">
        <v>3386</v>
      </c>
      <c r="C639" s="3022" t="s">
        <v>3082</v>
      </c>
      <c r="D639" s="3022">
        <v>2821</v>
      </c>
      <c r="E639" s="3022">
        <v>71.53</v>
      </c>
      <c r="F639" s="3022" t="s">
        <v>3390</v>
      </c>
    </row>
    <row r="640" spans="1:6">
      <c r="A640" s="3022">
        <v>557</v>
      </c>
      <c r="B640" s="3022" t="s">
        <v>3386</v>
      </c>
      <c r="C640" s="3023" t="s">
        <v>3082</v>
      </c>
      <c r="D640" s="3022">
        <v>2822</v>
      </c>
      <c r="E640" s="3022">
        <v>64.290000000000006</v>
      </c>
      <c r="F640" s="3022" t="s">
        <v>3390</v>
      </c>
    </row>
    <row r="641" spans="1:6">
      <c r="A641" s="3022">
        <v>558</v>
      </c>
      <c r="B641" s="3022" t="s">
        <v>3386</v>
      </c>
      <c r="C641" s="3022" t="s">
        <v>3082</v>
      </c>
      <c r="D641" s="3022">
        <v>2823</v>
      </c>
      <c r="E641" s="3022">
        <v>59.07</v>
      </c>
      <c r="F641" s="3022" t="s">
        <v>3390</v>
      </c>
    </row>
    <row r="642" spans="1:6">
      <c r="A642" s="3022">
        <v>559</v>
      </c>
      <c r="B642" s="3022" t="s">
        <v>3386</v>
      </c>
      <c r="C642" s="3023" t="s">
        <v>3082</v>
      </c>
      <c r="D642" s="3022">
        <v>2824</v>
      </c>
      <c r="E642" s="3022">
        <v>58.01</v>
      </c>
      <c r="F642" s="3022" t="s">
        <v>3390</v>
      </c>
    </row>
    <row r="643" spans="1:6">
      <c r="A643" s="3022">
        <v>560</v>
      </c>
      <c r="B643" s="3022" t="s">
        <v>3386</v>
      </c>
      <c r="C643" s="3022" t="s">
        <v>3082</v>
      </c>
      <c r="D643" s="3022">
        <v>2825</v>
      </c>
      <c r="E643" s="3022">
        <v>66.94</v>
      </c>
      <c r="F643" s="3022" t="s">
        <v>3390</v>
      </c>
    </row>
    <row r="644" spans="1:6">
      <c r="A644" s="3022">
        <v>561</v>
      </c>
      <c r="B644" s="3022" t="s">
        <v>3386</v>
      </c>
      <c r="C644" s="3023" t="s">
        <v>3082</v>
      </c>
      <c r="D644" s="3022">
        <v>2826</v>
      </c>
      <c r="E644" s="3022">
        <v>56.59</v>
      </c>
      <c r="F644" s="3022" t="s">
        <v>3390</v>
      </c>
    </row>
    <row r="645" spans="1:6">
      <c r="A645" s="3022">
        <v>562</v>
      </c>
      <c r="B645" s="3022" t="s">
        <v>3386</v>
      </c>
      <c r="C645" s="3022" t="s">
        <v>3082</v>
      </c>
      <c r="D645" s="3022">
        <v>2827</v>
      </c>
      <c r="E645" s="3022">
        <v>58.41</v>
      </c>
      <c r="F645" s="3022" t="s">
        <v>3390</v>
      </c>
    </row>
    <row r="646" spans="1:6">
      <c r="A646" s="3022">
        <v>563</v>
      </c>
      <c r="B646" s="3022" t="s">
        <v>3386</v>
      </c>
      <c r="C646" s="3023" t="s">
        <v>3082</v>
      </c>
      <c r="D646" s="3022">
        <v>2828</v>
      </c>
      <c r="E646" s="3022">
        <v>64.13</v>
      </c>
      <c r="F646" s="3022" t="s">
        <v>3390</v>
      </c>
    </row>
    <row r="647" spans="1:6">
      <c r="A647" s="3022">
        <v>564</v>
      </c>
      <c r="B647" s="3022" t="s">
        <v>3386</v>
      </c>
      <c r="C647" s="3022" t="s">
        <v>3082</v>
      </c>
      <c r="D647" s="3022">
        <v>2829</v>
      </c>
      <c r="E647" s="3022">
        <v>57.45</v>
      </c>
      <c r="F647" s="3022" t="s">
        <v>3390</v>
      </c>
    </row>
    <row r="648" spans="1:6">
      <c r="A648" s="3022">
        <v>565</v>
      </c>
      <c r="B648" s="3022" t="s">
        <v>3386</v>
      </c>
      <c r="C648" s="3023" t="s">
        <v>3082</v>
      </c>
      <c r="D648" s="3022">
        <v>2830</v>
      </c>
      <c r="E648" s="3022">
        <v>57.33</v>
      </c>
      <c r="F648" s="3022" t="s">
        <v>3390</v>
      </c>
    </row>
    <row r="649" spans="1:6">
      <c r="A649" s="3022">
        <v>566</v>
      </c>
      <c r="B649" s="3022" t="s">
        <v>3386</v>
      </c>
      <c r="C649" s="3022" t="s">
        <v>3082</v>
      </c>
      <c r="D649" s="3022">
        <v>2831</v>
      </c>
      <c r="E649" s="3022">
        <v>56.44</v>
      </c>
      <c r="F649" s="3022" t="s">
        <v>3390</v>
      </c>
    </row>
    <row r="650" spans="1:6">
      <c r="A650" s="3022">
        <v>567</v>
      </c>
      <c r="B650" s="3022" t="s">
        <v>3386</v>
      </c>
      <c r="C650" s="3023" t="s">
        <v>3082</v>
      </c>
      <c r="D650" s="3022">
        <v>2832</v>
      </c>
      <c r="E650" s="3022">
        <v>55.78</v>
      </c>
      <c r="F650" s="3022" t="s">
        <v>3390</v>
      </c>
    </row>
    <row r="651" spans="1:6">
      <c r="A651" s="3022">
        <v>568</v>
      </c>
      <c r="B651" s="3022" t="s">
        <v>3386</v>
      </c>
      <c r="C651" s="3022" t="s">
        <v>3082</v>
      </c>
      <c r="D651" s="3022">
        <v>2833</v>
      </c>
      <c r="E651" s="3022">
        <v>55.05</v>
      </c>
      <c r="F651" s="3022" t="s">
        <v>3390</v>
      </c>
    </row>
    <row r="652" spans="1:6">
      <c r="A652" s="3022">
        <v>569</v>
      </c>
      <c r="B652" s="3022" t="s">
        <v>3386</v>
      </c>
      <c r="C652" s="3023" t="s">
        <v>3082</v>
      </c>
      <c r="D652" s="3022">
        <v>2834</v>
      </c>
      <c r="E652" s="3022">
        <v>55.51</v>
      </c>
      <c r="F652" s="3022" t="s">
        <v>3390</v>
      </c>
    </row>
    <row r="653" spans="1:6">
      <c r="A653" s="3022">
        <v>570</v>
      </c>
      <c r="B653" s="3022" t="s">
        <v>3386</v>
      </c>
      <c r="C653" s="3022" t="s">
        <v>3082</v>
      </c>
      <c r="D653" s="3022">
        <v>2835</v>
      </c>
      <c r="E653" s="3022">
        <v>55.18</v>
      </c>
      <c r="F653" s="3022" t="s">
        <v>3390</v>
      </c>
    </row>
    <row r="654" spans="1:6">
      <c r="A654" s="3022">
        <v>571</v>
      </c>
      <c r="B654" s="3022" t="s">
        <v>3386</v>
      </c>
      <c r="C654" s="3023" t="s">
        <v>3082</v>
      </c>
      <c r="D654" s="3022">
        <v>2901</v>
      </c>
      <c r="E654" s="3022">
        <v>68.05</v>
      </c>
      <c r="F654" s="3022" t="s">
        <v>3390</v>
      </c>
    </row>
    <row r="655" spans="1:6">
      <c r="A655" s="3022">
        <v>572</v>
      </c>
      <c r="B655" s="3022" t="s">
        <v>3386</v>
      </c>
      <c r="C655" s="3022" t="s">
        <v>3082</v>
      </c>
      <c r="D655" s="3022">
        <v>2902</v>
      </c>
      <c r="E655" s="3022">
        <v>47.59</v>
      </c>
      <c r="F655" s="3022" t="s">
        <v>3390</v>
      </c>
    </row>
    <row r="656" spans="1:6">
      <c r="A656" s="3022">
        <v>573</v>
      </c>
      <c r="B656" s="3022" t="s">
        <v>3386</v>
      </c>
      <c r="C656" s="3023" t="s">
        <v>3082</v>
      </c>
      <c r="D656" s="3022">
        <v>2903</v>
      </c>
      <c r="E656" s="3022">
        <v>52.4</v>
      </c>
      <c r="F656" s="3022" t="s">
        <v>3390</v>
      </c>
    </row>
    <row r="657" spans="1:6">
      <c r="A657" s="3022">
        <v>574</v>
      </c>
      <c r="B657" s="3022" t="s">
        <v>3386</v>
      </c>
      <c r="C657" s="3022" t="s">
        <v>3082</v>
      </c>
      <c r="D657" s="3022">
        <v>2904</v>
      </c>
      <c r="E657" s="3022">
        <v>56.57</v>
      </c>
      <c r="F657" s="3022" t="s">
        <v>3390</v>
      </c>
    </row>
    <row r="658" spans="1:6">
      <c r="A658" s="3022">
        <v>575</v>
      </c>
      <c r="B658" s="3022" t="s">
        <v>3386</v>
      </c>
      <c r="C658" s="3023" t="s">
        <v>3082</v>
      </c>
      <c r="D658" s="3022">
        <v>2905</v>
      </c>
      <c r="E658" s="3022">
        <v>59.91</v>
      </c>
      <c r="F658" s="3022" t="s">
        <v>3390</v>
      </c>
    </row>
    <row r="659" spans="1:6">
      <c r="A659" s="3022">
        <v>576</v>
      </c>
      <c r="B659" s="3022" t="s">
        <v>3386</v>
      </c>
      <c r="C659" s="3022" t="s">
        <v>3082</v>
      </c>
      <c r="D659" s="3022">
        <v>2906</v>
      </c>
      <c r="E659" s="3022">
        <v>61.66</v>
      </c>
      <c r="F659" s="3022" t="s">
        <v>3390</v>
      </c>
    </row>
    <row r="660" spans="1:6">
      <c r="A660" s="3022">
        <v>577</v>
      </c>
      <c r="B660" s="3022" t="s">
        <v>3386</v>
      </c>
      <c r="C660" s="3023" t="s">
        <v>3082</v>
      </c>
      <c r="D660" s="3022">
        <v>2907</v>
      </c>
      <c r="E660" s="3022">
        <v>61.94</v>
      </c>
      <c r="F660" s="3022" t="s">
        <v>3390</v>
      </c>
    </row>
    <row r="661" spans="1:6">
      <c r="A661" s="3022">
        <v>578</v>
      </c>
      <c r="B661" s="3022" t="s">
        <v>3386</v>
      </c>
      <c r="C661" s="3022" t="s">
        <v>3082</v>
      </c>
      <c r="D661" s="3022">
        <v>2908</v>
      </c>
      <c r="E661" s="3022">
        <v>61.98</v>
      </c>
      <c r="F661" s="3022" t="s">
        <v>3390</v>
      </c>
    </row>
    <row r="662" spans="1:6">
      <c r="A662" s="3022">
        <v>579</v>
      </c>
      <c r="B662" s="3022" t="s">
        <v>3386</v>
      </c>
      <c r="C662" s="3023" t="s">
        <v>3082</v>
      </c>
      <c r="D662" s="3022">
        <v>2909</v>
      </c>
      <c r="E662" s="3022">
        <v>62.31</v>
      </c>
      <c r="F662" s="3022" t="s">
        <v>3390</v>
      </c>
    </row>
    <row r="663" spans="1:6">
      <c r="A663" s="3022">
        <v>580</v>
      </c>
      <c r="B663" s="3022" t="s">
        <v>3386</v>
      </c>
      <c r="C663" s="3022" t="s">
        <v>3082</v>
      </c>
      <c r="D663" s="3022">
        <v>2910</v>
      </c>
      <c r="E663" s="3022">
        <v>63</v>
      </c>
      <c r="F663" s="3022" t="s">
        <v>3390</v>
      </c>
    </row>
    <row r="664" spans="1:6">
      <c r="A664" s="3022">
        <v>581</v>
      </c>
      <c r="B664" s="3022" t="s">
        <v>3386</v>
      </c>
      <c r="C664" s="3023" t="s">
        <v>3082</v>
      </c>
      <c r="D664" s="3022">
        <v>2911</v>
      </c>
      <c r="E664" s="3022">
        <v>64.5</v>
      </c>
      <c r="F664" s="3022" t="s">
        <v>3390</v>
      </c>
    </row>
    <row r="665" spans="1:6">
      <c r="A665" s="3022">
        <v>582</v>
      </c>
      <c r="B665" s="3022" t="s">
        <v>3386</v>
      </c>
      <c r="C665" s="3022" t="s">
        <v>3082</v>
      </c>
      <c r="D665" s="3022">
        <v>2912</v>
      </c>
      <c r="E665" s="3022">
        <v>65.94</v>
      </c>
      <c r="F665" s="3022" t="s">
        <v>3390</v>
      </c>
    </row>
    <row r="666" spans="1:6">
      <c r="A666" s="3022">
        <v>583</v>
      </c>
      <c r="B666" s="3022" t="s">
        <v>3386</v>
      </c>
      <c r="C666" s="3023" t="s">
        <v>3082</v>
      </c>
      <c r="D666" s="3022">
        <v>2913</v>
      </c>
      <c r="E666" s="3022">
        <v>63.92</v>
      </c>
      <c r="F666" s="3022" t="s">
        <v>3390</v>
      </c>
    </row>
    <row r="667" spans="1:6">
      <c r="A667" s="3022">
        <v>584</v>
      </c>
      <c r="B667" s="3022" t="s">
        <v>3386</v>
      </c>
      <c r="C667" s="3022" t="s">
        <v>3082</v>
      </c>
      <c r="D667" s="3022">
        <v>2914</v>
      </c>
      <c r="E667" s="3022">
        <v>75.81</v>
      </c>
      <c r="F667" s="3022" t="s">
        <v>3390</v>
      </c>
    </row>
    <row r="668" spans="1:6">
      <c r="A668" s="3022">
        <v>585</v>
      </c>
      <c r="B668" s="3022" t="s">
        <v>3386</v>
      </c>
      <c r="C668" s="3023" t="s">
        <v>3082</v>
      </c>
      <c r="D668" s="3022">
        <v>2915</v>
      </c>
      <c r="E668" s="3022">
        <v>69.88</v>
      </c>
      <c r="F668" s="3022" t="s">
        <v>3390</v>
      </c>
    </row>
    <row r="669" spans="1:6">
      <c r="A669" s="3022">
        <v>586</v>
      </c>
      <c r="B669" s="3022" t="s">
        <v>3386</v>
      </c>
      <c r="C669" s="3022" t="s">
        <v>3082</v>
      </c>
      <c r="D669" s="3022">
        <v>2916</v>
      </c>
      <c r="E669" s="3022">
        <v>67.42</v>
      </c>
      <c r="F669" s="3022" t="s">
        <v>3390</v>
      </c>
    </row>
    <row r="670" spans="1:6">
      <c r="A670" s="3022">
        <v>587</v>
      </c>
      <c r="B670" s="3022" t="s">
        <v>3386</v>
      </c>
      <c r="C670" s="3023" t="s">
        <v>3082</v>
      </c>
      <c r="D670" s="3022">
        <v>2917</v>
      </c>
      <c r="E670" s="3022">
        <v>68.25</v>
      </c>
      <c r="F670" s="3022" t="s">
        <v>3390</v>
      </c>
    </row>
    <row r="671" spans="1:6">
      <c r="A671" s="3022">
        <v>588</v>
      </c>
      <c r="B671" s="3022" t="s">
        <v>3386</v>
      </c>
      <c r="C671" s="3022" t="s">
        <v>3082</v>
      </c>
      <c r="D671" s="3022">
        <v>2918</v>
      </c>
      <c r="E671" s="3022">
        <v>69.11</v>
      </c>
      <c r="F671" s="3022" t="s">
        <v>3390</v>
      </c>
    </row>
    <row r="672" spans="1:6">
      <c r="A672" s="3022">
        <v>589</v>
      </c>
      <c r="B672" s="3022" t="s">
        <v>3386</v>
      </c>
      <c r="C672" s="3023" t="s">
        <v>3082</v>
      </c>
      <c r="D672" s="3022">
        <v>2919</v>
      </c>
      <c r="E672" s="3022">
        <v>70.67</v>
      </c>
      <c r="F672" s="3022" t="s">
        <v>3390</v>
      </c>
    </row>
    <row r="673" spans="1:6">
      <c r="A673" s="3022">
        <v>590</v>
      </c>
      <c r="B673" s="3022" t="s">
        <v>3386</v>
      </c>
      <c r="C673" s="3022" t="s">
        <v>3082</v>
      </c>
      <c r="D673" s="3022">
        <v>2920</v>
      </c>
      <c r="E673" s="3022">
        <v>73.25</v>
      </c>
      <c r="F673" s="3022" t="s">
        <v>3390</v>
      </c>
    </row>
    <row r="674" spans="1:6">
      <c r="A674" s="3022">
        <v>591</v>
      </c>
      <c r="B674" s="3022" t="s">
        <v>3386</v>
      </c>
      <c r="C674" s="3023" t="s">
        <v>3082</v>
      </c>
      <c r="D674" s="3022">
        <v>2921</v>
      </c>
      <c r="E674" s="3022">
        <v>71.53</v>
      </c>
      <c r="F674" s="3022" t="s">
        <v>3390</v>
      </c>
    </row>
    <row r="675" spans="1:6">
      <c r="A675" s="3022">
        <v>592</v>
      </c>
      <c r="B675" s="3022" t="s">
        <v>3386</v>
      </c>
      <c r="C675" s="3022" t="s">
        <v>3082</v>
      </c>
      <c r="D675" s="3022">
        <v>2922</v>
      </c>
      <c r="E675" s="3022">
        <v>64.290000000000006</v>
      </c>
      <c r="F675" s="3022" t="s">
        <v>3390</v>
      </c>
    </row>
    <row r="676" spans="1:6">
      <c r="A676" s="3022">
        <v>593</v>
      </c>
      <c r="B676" s="3022" t="s">
        <v>3386</v>
      </c>
      <c r="C676" s="3023" t="s">
        <v>3082</v>
      </c>
      <c r="D676" s="3022">
        <v>2923</v>
      </c>
      <c r="E676" s="3022">
        <v>59.07</v>
      </c>
      <c r="F676" s="3022" t="s">
        <v>3390</v>
      </c>
    </row>
    <row r="677" spans="1:6">
      <c r="A677" s="3022">
        <v>594</v>
      </c>
      <c r="B677" s="3022" t="s">
        <v>3386</v>
      </c>
      <c r="C677" s="3022" t="s">
        <v>3082</v>
      </c>
      <c r="D677" s="3022">
        <v>2924</v>
      </c>
      <c r="E677" s="3022">
        <v>58.01</v>
      </c>
      <c r="F677" s="3022" t="s">
        <v>3390</v>
      </c>
    </row>
    <row r="678" spans="1:6">
      <c r="A678" s="3022">
        <v>595</v>
      </c>
      <c r="B678" s="3022" t="s">
        <v>3386</v>
      </c>
      <c r="C678" s="3023" t="s">
        <v>3082</v>
      </c>
      <c r="D678" s="3022">
        <v>2925</v>
      </c>
      <c r="E678" s="3022">
        <v>66.94</v>
      </c>
      <c r="F678" s="3022" t="s">
        <v>3390</v>
      </c>
    </row>
    <row r="679" spans="1:6">
      <c r="A679" s="3022">
        <v>596</v>
      </c>
      <c r="B679" s="3022" t="s">
        <v>3386</v>
      </c>
      <c r="C679" s="3022" t="s">
        <v>3082</v>
      </c>
      <c r="D679" s="3022">
        <v>2926</v>
      </c>
      <c r="E679" s="3022">
        <v>56.59</v>
      </c>
      <c r="F679" s="3022" t="s">
        <v>3390</v>
      </c>
    </row>
    <row r="680" spans="1:6">
      <c r="A680" s="3022">
        <v>597</v>
      </c>
      <c r="B680" s="3022" t="s">
        <v>3386</v>
      </c>
      <c r="C680" s="3023" t="s">
        <v>3082</v>
      </c>
      <c r="D680" s="3022">
        <v>2927</v>
      </c>
      <c r="E680" s="3022">
        <v>58.41</v>
      </c>
      <c r="F680" s="3022" t="s">
        <v>3390</v>
      </c>
    </row>
    <row r="681" spans="1:6">
      <c r="A681" s="3022">
        <v>598</v>
      </c>
      <c r="B681" s="3022" t="s">
        <v>3386</v>
      </c>
      <c r="C681" s="3022" t="s">
        <v>3082</v>
      </c>
      <c r="D681" s="3022">
        <v>2928</v>
      </c>
      <c r="E681" s="3022">
        <v>64.13</v>
      </c>
      <c r="F681" s="3022" t="s">
        <v>3390</v>
      </c>
    </row>
    <row r="682" spans="1:6">
      <c r="A682" s="3022">
        <v>599</v>
      </c>
      <c r="B682" s="3022" t="s">
        <v>3386</v>
      </c>
      <c r="C682" s="3023" t="s">
        <v>3082</v>
      </c>
      <c r="D682" s="3022">
        <v>2929</v>
      </c>
      <c r="E682" s="3022">
        <v>57.45</v>
      </c>
      <c r="F682" s="3022" t="s">
        <v>3390</v>
      </c>
    </row>
    <row r="683" spans="1:6">
      <c r="A683" s="3022">
        <v>600</v>
      </c>
      <c r="B683" s="3022" t="s">
        <v>3386</v>
      </c>
      <c r="C683" s="3022" t="s">
        <v>3082</v>
      </c>
      <c r="D683" s="3022">
        <v>2930</v>
      </c>
      <c r="E683" s="3022">
        <v>57.33</v>
      </c>
      <c r="F683" s="3022" t="s">
        <v>3390</v>
      </c>
    </row>
    <row r="684" spans="1:6">
      <c r="A684" s="3022">
        <v>601</v>
      </c>
      <c r="B684" s="3022" t="s">
        <v>3386</v>
      </c>
      <c r="C684" s="3023" t="s">
        <v>3082</v>
      </c>
      <c r="D684" s="3022">
        <v>2931</v>
      </c>
      <c r="E684" s="3022">
        <v>56.44</v>
      </c>
      <c r="F684" s="3022" t="s">
        <v>3390</v>
      </c>
    </row>
    <row r="685" spans="1:6">
      <c r="A685" s="3022">
        <v>602</v>
      </c>
      <c r="B685" s="3022" t="s">
        <v>3386</v>
      </c>
      <c r="C685" s="3022" t="s">
        <v>3082</v>
      </c>
      <c r="D685" s="3022">
        <v>2932</v>
      </c>
      <c r="E685" s="3022">
        <v>55.78</v>
      </c>
      <c r="F685" s="3022" t="s">
        <v>3390</v>
      </c>
    </row>
    <row r="686" spans="1:6">
      <c r="A686" s="3022">
        <v>603</v>
      </c>
      <c r="B686" s="3022" t="s">
        <v>3386</v>
      </c>
      <c r="C686" s="3023" t="s">
        <v>3082</v>
      </c>
      <c r="D686" s="3022">
        <v>2933</v>
      </c>
      <c r="E686" s="3022">
        <v>55.05</v>
      </c>
      <c r="F686" s="3022" t="s">
        <v>3390</v>
      </c>
    </row>
    <row r="687" spans="1:6">
      <c r="A687" s="3022">
        <v>604</v>
      </c>
      <c r="B687" s="3022" t="s">
        <v>3386</v>
      </c>
      <c r="C687" s="3022" t="s">
        <v>3082</v>
      </c>
      <c r="D687" s="3022">
        <v>2934</v>
      </c>
      <c r="E687" s="3022">
        <v>55.51</v>
      </c>
      <c r="F687" s="3022" t="s">
        <v>3390</v>
      </c>
    </row>
    <row r="688" spans="1:6">
      <c r="A688" s="3022">
        <v>605</v>
      </c>
      <c r="B688" s="3022" t="s">
        <v>3386</v>
      </c>
      <c r="C688" s="3023" t="s">
        <v>3082</v>
      </c>
      <c r="D688" s="3022">
        <v>2935</v>
      </c>
      <c r="E688" s="3022">
        <v>55.18</v>
      </c>
      <c r="F688" s="3022" t="s">
        <v>3390</v>
      </c>
    </row>
    <row r="689" spans="1:6">
      <c r="A689" s="3022">
        <v>606</v>
      </c>
      <c r="B689" s="3022" t="s">
        <v>3386</v>
      </c>
      <c r="C689" s="3022" t="s">
        <v>3082</v>
      </c>
      <c r="D689" s="3022">
        <v>3001</v>
      </c>
      <c r="E689" s="3022">
        <v>68.05</v>
      </c>
      <c r="F689" s="3022" t="s">
        <v>3390</v>
      </c>
    </row>
    <row r="690" spans="1:6">
      <c r="A690" s="3022">
        <v>607</v>
      </c>
      <c r="B690" s="3022" t="s">
        <v>3386</v>
      </c>
      <c r="C690" s="3023" t="s">
        <v>3082</v>
      </c>
      <c r="D690" s="3022">
        <v>3002</v>
      </c>
      <c r="E690" s="3022">
        <v>47.59</v>
      </c>
      <c r="F690" s="3022" t="s">
        <v>3390</v>
      </c>
    </row>
    <row r="691" spans="1:6">
      <c r="A691" s="3022">
        <v>608</v>
      </c>
      <c r="B691" s="3022" t="s">
        <v>3386</v>
      </c>
      <c r="C691" s="3022" t="s">
        <v>3082</v>
      </c>
      <c r="D691" s="3022">
        <v>3003</v>
      </c>
      <c r="E691" s="3022">
        <v>52.4</v>
      </c>
      <c r="F691" s="3022" t="s">
        <v>3390</v>
      </c>
    </row>
    <row r="692" spans="1:6">
      <c r="A692" s="3022">
        <v>609</v>
      </c>
      <c r="B692" s="3022" t="s">
        <v>3386</v>
      </c>
      <c r="C692" s="3023" t="s">
        <v>3082</v>
      </c>
      <c r="D692" s="3022">
        <v>3004</v>
      </c>
      <c r="E692" s="3022">
        <v>56.57</v>
      </c>
      <c r="F692" s="3022" t="s">
        <v>3390</v>
      </c>
    </row>
    <row r="693" spans="1:6">
      <c r="A693" s="3022">
        <v>610</v>
      </c>
      <c r="B693" s="3022" t="s">
        <v>3386</v>
      </c>
      <c r="C693" s="3022" t="s">
        <v>3082</v>
      </c>
      <c r="D693" s="3022">
        <v>3005</v>
      </c>
      <c r="E693" s="3022">
        <v>59.91</v>
      </c>
      <c r="F693" s="3022" t="s">
        <v>3390</v>
      </c>
    </row>
    <row r="694" spans="1:6">
      <c r="A694" s="3022">
        <v>611</v>
      </c>
      <c r="B694" s="3022" t="s">
        <v>3386</v>
      </c>
      <c r="C694" s="3023" t="s">
        <v>3082</v>
      </c>
      <c r="D694" s="3022">
        <v>3006</v>
      </c>
      <c r="E694" s="3022">
        <v>61.66</v>
      </c>
      <c r="F694" s="3022" t="s">
        <v>3390</v>
      </c>
    </row>
    <row r="695" spans="1:6">
      <c r="A695" s="3022">
        <v>612</v>
      </c>
      <c r="B695" s="3022" t="s">
        <v>3386</v>
      </c>
      <c r="C695" s="3022" t="s">
        <v>3082</v>
      </c>
      <c r="D695" s="3022">
        <v>3007</v>
      </c>
      <c r="E695" s="3022">
        <v>61.94</v>
      </c>
      <c r="F695" s="3022" t="s">
        <v>3390</v>
      </c>
    </row>
    <row r="696" spans="1:6">
      <c r="A696" s="3022">
        <v>613</v>
      </c>
      <c r="B696" s="3022" t="s">
        <v>3386</v>
      </c>
      <c r="C696" s="3023" t="s">
        <v>3082</v>
      </c>
      <c r="D696" s="3022">
        <v>3008</v>
      </c>
      <c r="E696" s="3022">
        <v>61.98</v>
      </c>
      <c r="F696" s="3022" t="s">
        <v>3390</v>
      </c>
    </row>
    <row r="697" spans="1:6">
      <c r="A697" s="3022">
        <v>614</v>
      </c>
      <c r="B697" s="3022" t="s">
        <v>3386</v>
      </c>
      <c r="C697" s="3022" t="s">
        <v>3082</v>
      </c>
      <c r="D697" s="3022">
        <v>3009</v>
      </c>
      <c r="E697" s="3022">
        <v>62.31</v>
      </c>
      <c r="F697" s="3022" t="s">
        <v>3390</v>
      </c>
    </row>
    <row r="698" spans="1:6">
      <c r="A698" s="3022">
        <v>615</v>
      </c>
      <c r="B698" s="3022" t="s">
        <v>3386</v>
      </c>
      <c r="C698" s="3023" t="s">
        <v>3082</v>
      </c>
      <c r="D698" s="3022">
        <v>3010</v>
      </c>
      <c r="E698" s="3022">
        <v>63</v>
      </c>
      <c r="F698" s="3022" t="s">
        <v>3390</v>
      </c>
    </row>
    <row r="699" spans="1:6">
      <c r="A699" s="3022">
        <v>616</v>
      </c>
      <c r="B699" s="3022" t="s">
        <v>3386</v>
      </c>
      <c r="C699" s="3022" t="s">
        <v>3082</v>
      </c>
      <c r="D699" s="3022">
        <v>3011</v>
      </c>
      <c r="E699" s="3022">
        <v>64.5</v>
      </c>
      <c r="F699" s="3022" t="s">
        <v>3390</v>
      </c>
    </row>
    <row r="700" spans="1:6">
      <c r="A700" s="3022">
        <v>617</v>
      </c>
      <c r="B700" s="3022" t="s">
        <v>3386</v>
      </c>
      <c r="C700" s="3023" t="s">
        <v>3082</v>
      </c>
      <c r="D700" s="3022">
        <v>3012</v>
      </c>
      <c r="E700" s="3022">
        <v>65.94</v>
      </c>
      <c r="F700" s="3022" t="s">
        <v>3390</v>
      </c>
    </row>
    <row r="701" spans="1:6">
      <c r="A701" s="3022">
        <v>618</v>
      </c>
      <c r="B701" s="3022" t="s">
        <v>3386</v>
      </c>
      <c r="C701" s="3022" t="s">
        <v>3082</v>
      </c>
      <c r="D701" s="3022">
        <v>3013</v>
      </c>
      <c r="E701" s="3022">
        <v>63.92</v>
      </c>
      <c r="F701" s="3022" t="s">
        <v>3390</v>
      </c>
    </row>
    <row r="702" spans="1:6">
      <c r="A702" s="3022">
        <v>619</v>
      </c>
      <c r="B702" s="3022" t="s">
        <v>3386</v>
      </c>
      <c r="C702" s="3023" t="s">
        <v>3082</v>
      </c>
      <c r="D702" s="3022">
        <v>3014</v>
      </c>
      <c r="E702" s="3022">
        <v>75.81</v>
      </c>
      <c r="F702" s="3022" t="s">
        <v>3390</v>
      </c>
    </row>
    <row r="703" spans="1:6">
      <c r="A703" s="3022">
        <v>620</v>
      </c>
      <c r="B703" s="3022" t="s">
        <v>3386</v>
      </c>
      <c r="C703" s="3022" t="s">
        <v>3082</v>
      </c>
      <c r="D703" s="3022">
        <v>3015</v>
      </c>
      <c r="E703" s="3022">
        <v>69.88</v>
      </c>
      <c r="F703" s="3022" t="s">
        <v>3390</v>
      </c>
    </row>
    <row r="704" spans="1:6">
      <c r="A704" s="3022">
        <v>621</v>
      </c>
      <c r="B704" s="3022" t="s">
        <v>3386</v>
      </c>
      <c r="C704" s="3023" t="s">
        <v>3082</v>
      </c>
      <c r="D704" s="3022">
        <v>3016</v>
      </c>
      <c r="E704" s="3022">
        <v>67.42</v>
      </c>
      <c r="F704" s="3022" t="s">
        <v>3390</v>
      </c>
    </row>
    <row r="705" spans="1:6">
      <c r="A705" s="3022">
        <v>622</v>
      </c>
      <c r="B705" s="3022" t="s">
        <v>3386</v>
      </c>
      <c r="C705" s="3022" t="s">
        <v>3082</v>
      </c>
      <c r="D705" s="3022">
        <v>3017</v>
      </c>
      <c r="E705" s="3022">
        <v>68.25</v>
      </c>
      <c r="F705" s="3022" t="s">
        <v>3390</v>
      </c>
    </row>
    <row r="706" spans="1:6">
      <c r="A706" s="3022">
        <v>623</v>
      </c>
      <c r="B706" s="3022" t="s">
        <v>3386</v>
      </c>
      <c r="C706" s="3023" t="s">
        <v>3082</v>
      </c>
      <c r="D706" s="3022">
        <v>3018</v>
      </c>
      <c r="E706" s="3022">
        <v>69.11</v>
      </c>
      <c r="F706" s="3022" t="s">
        <v>3390</v>
      </c>
    </row>
    <row r="707" spans="1:6">
      <c r="A707" s="3022">
        <v>624</v>
      </c>
      <c r="B707" s="3022" t="s">
        <v>3386</v>
      </c>
      <c r="C707" s="3022" t="s">
        <v>3082</v>
      </c>
      <c r="D707" s="3022">
        <v>3019</v>
      </c>
      <c r="E707" s="3022">
        <v>70.67</v>
      </c>
      <c r="F707" s="3022" t="s">
        <v>3390</v>
      </c>
    </row>
    <row r="708" spans="1:6">
      <c r="A708" s="3022">
        <v>625</v>
      </c>
      <c r="B708" s="3022" t="s">
        <v>3386</v>
      </c>
      <c r="C708" s="3023" t="s">
        <v>3082</v>
      </c>
      <c r="D708" s="3022">
        <v>3020</v>
      </c>
      <c r="E708" s="3022">
        <v>73.25</v>
      </c>
      <c r="F708" s="3022" t="s">
        <v>3390</v>
      </c>
    </row>
    <row r="709" spans="1:6">
      <c r="A709" s="3022">
        <v>626</v>
      </c>
      <c r="B709" s="3022" t="s">
        <v>3386</v>
      </c>
      <c r="C709" s="3022" t="s">
        <v>3082</v>
      </c>
      <c r="D709" s="3022">
        <v>3021</v>
      </c>
      <c r="E709" s="3022">
        <v>71.53</v>
      </c>
      <c r="F709" s="3022" t="s">
        <v>3390</v>
      </c>
    </row>
    <row r="710" spans="1:6">
      <c r="A710" s="3022">
        <v>627</v>
      </c>
      <c r="B710" s="3022" t="s">
        <v>3386</v>
      </c>
      <c r="C710" s="3023" t="s">
        <v>3082</v>
      </c>
      <c r="D710" s="3022">
        <v>3022</v>
      </c>
      <c r="E710" s="3022">
        <v>64.290000000000006</v>
      </c>
      <c r="F710" s="3022" t="s">
        <v>3390</v>
      </c>
    </row>
    <row r="711" spans="1:6">
      <c r="A711" s="3022">
        <v>628</v>
      </c>
      <c r="B711" s="3022" t="s">
        <v>3386</v>
      </c>
      <c r="C711" s="3022" t="s">
        <v>3082</v>
      </c>
      <c r="D711" s="3022">
        <v>3023</v>
      </c>
      <c r="E711" s="3022">
        <v>59.07</v>
      </c>
      <c r="F711" s="3022" t="s">
        <v>3390</v>
      </c>
    </row>
    <row r="712" spans="1:6">
      <c r="A712" s="3022">
        <v>629</v>
      </c>
      <c r="B712" s="3022" t="s">
        <v>3386</v>
      </c>
      <c r="C712" s="3023" t="s">
        <v>3082</v>
      </c>
      <c r="D712" s="3022">
        <v>3024</v>
      </c>
      <c r="E712" s="3022">
        <v>58.01</v>
      </c>
      <c r="F712" s="3022" t="s">
        <v>3390</v>
      </c>
    </row>
    <row r="713" spans="1:6">
      <c r="A713" s="3022">
        <v>630</v>
      </c>
      <c r="B713" s="3022" t="s">
        <v>3386</v>
      </c>
      <c r="C713" s="3022" t="s">
        <v>3082</v>
      </c>
      <c r="D713" s="3022">
        <v>3025</v>
      </c>
      <c r="E713" s="3022">
        <v>66.94</v>
      </c>
      <c r="F713" s="3022" t="s">
        <v>3390</v>
      </c>
    </row>
    <row r="714" spans="1:6">
      <c r="A714" s="3022">
        <v>631</v>
      </c>
      <c r="B714" s="3022" t="s">
        <v>3386</v>
      </c>
      <c r="C714" s="3023" t="s">
        <v>3082</v>
      </c>
      <c r="D714" s="3022">
        <v>3026</v>
      </c>
      <c r="E714" s="3022">
        <v>56.59</v>
      </c>
      <c r="F714" s="3022" t="s">
        <v>3390</v>
      </c>
    </row>
    <row r="715" spans="1:6">
      <c r="A715" s="3022">
        <v>632</v>
      </c>
      <c r="B715" s="3022" t="s">
        <v>3386</v>
      </c>
      <c r="C715" s="3022" t="s">
        <v>3082</v>
      </c>
      <c r="D715" s="3022">
        <v>3027</v>
      </c>
      <c r="E715" s="3022">
        <v>58.41</v>
      </c>
      <c r="F715" s="3022" t="s">
        <v>3390</v>
      </c>
    </row>
    <row r="716" spans="1:6">
      <c r="A716" s="3022">
        <v>633</v>
      </c>
      <c r="B716" s="3022" t="s">
        <v>3386</v>
      </c>
      <c r="C716" s="3023" t="s">
        <v>3082</v>
      </c>
      <c r="D716" s="3022">
        <v>3028</v>
      </c>
      <c r="E716" s="3022">
        <v>64.13</v>
      </c>
      <c r="F716" s="3022" t="s">
        <v>3390</v>
      </c>
    </row>
    <row r="717" spans="1:6">
      <c r="A717" s="3022">
        <v>634</v>
      </c>
      <c r="B717" s="3022" t="s">
        <v>3386</v>
      </c>
      <c r="C717" s="3022" t="s">
        <v>3082</v>
      </c>
      <c r="D717" s="3022">
        <v>3029</v>
      </c>
      <c r="E717" s="3022">
        <v>57.45</v>
      </c>
      <c r="F717" s="3022" t="s">
        <v>3390</v>
      </c>
    </row>
    <row r="718" spans="1:6">
      <c r="A718" s="3022">
        <v>635</v>
      </c>
      <c r="B718" s="3022" t="s">
        <v>3386</v>
      </c>
      <c r="C718" s="3023" t="s">
        <v>3082</v>
      </c>
      <c r="D718" s="3022">
        <v>3030</v>
      </c>
      <c r="E718" s="3022">
        <v>57.33</v>
      </c>
      <c r="F718" s="3022" t="s">
        <v>3390</v>
      </c>
    </row>
    <row r="719" spans="1:6">
      <c r="A719" s="3022">
        <v>636</v>
      </c>
      <c r="B719" s="3022" t="s">
        <v>3386</v>
      </c>
      <c r="C719" s="3022" t="s">
        <v>3082</v>
      </c>
      <c r="D719" s="3022">
        <v>3031</v>
      </c>
      <c r="E719" s="3022">
        <v>56.44</v>
      </c>
      <c r="F719" s="3022" t="s">
        <v>3390</v>
      </c>
    </row>
    <row r="720" spans="1:6">
      <c r="A720" s="3022">
        <v>637</v>
      </c>
      <c r="B720" s="3022" t="s">
        <v>3386</v>
      </c>
      <c r="C720" s="3023" t="s">
        <v>3082</v>
      </c>
      <c r="D720" s="3022">
        <v>3032</v>
      </c>
      <c r="E720" s="3022">
        <v>55.78</v>
      </c>
      <c r="F720" s="3022" t="s">
        <v>3390</v>
      </c>
    </row>
    <row r="721" spans="1:6">
      <c r="A721" s="3022">
        <v>638</v>
      </c>
      <c r="B721" s="3022" t="s">
        <v>3386</v>
      </c>
      <c r="C721" s="3022" t="s">
        <v>3082</v>
      </c>
      <c r="D721" s="3022">
        <v>3033</v>
      </c>
      <c r="E721" s="3022">
        <v>55.05</v>
      </c>
      <c r="F721" s="3022" t="s">
        <v>3390</v>
      </c>
    </row>
    <row r="722" spans="1:6">
      <c r="A722" s="3022">
        <v>639</v>
      </c>
      <c r="B722" s="3022" t="s">
        <v>3386</v>
      </c>
      <c r="C722" s="3023" t="s">
        <v>3082</v>
      </c>
      <c r="D722" s="3022">
        <v>3034</v>
      </c>
      <c r="E722" s="3022">
        <v>55.51</v>
      </c>
      <c r="F722" s="3022" t="s">
        <v>3390</v>
      </c>
    </row>
    <row r="723" spans="1:6">
      <c r="A723" s="3022">
        <v>640</v>
      </c>
      <c r="B723" s="3022" t="s">
        <v>3386</v>
      </c>
      <c r="C723" s="3022" t="s">
        <v>3082</v>
      </c>
      <c r="D723" s="3022">
        <v>3035</v>
      </c>
      <c r="E723" s="3022">
        <v>55.18</v>
      </c>
      <c r="F723" s="3022" t="s">
        <v>3390</v>
      </c>
    </row>
    <row r="724" spans="1:6">
      <c r="A724" s="3022"/>
      <c r="B724" s="3022" t="s">
        <v>3392</v>
      </c>
      <c r="C724" s="3022"/>
      <c r="D724" s="3022"/>
      <c r="E724" s="3022">
        <f>SUM(E84:E723)</f>
        <v>44886.340000000091</v>
      </c>
      <c r="F724" s="3022"/>
    </row>
  </sheetData>
  <mergeCells count="14">
    <mergeCell ref="AL36:AL37"/>
    <mergeCell ref="A1:AL1"/>
    <mergeCell ref="H2:J2"/>
    <mergeCell ref="AH2:AL2"/>
    <mergeCell ref="AJ5:AL17"/>
    <mergeCell ref="AL18:AL19"/>
    <mergeCell ref="A75:AJ75"/>
    <mergeCell ref="A77:D77"/>
    <mergeCell ref="A39:AL39"/>
    <mergeCell ref="A40:F40"/>
    <mergeCell ref="A41:F41"/>
    <mergeCell ref="A42:AJ42"/>
    <mergeCell ref="F43:I43"/>
    <mergeCell ref="AC43:AJ43"/>
  </mergeCells>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5"/>
      <c r="C1" s="1395"/>
      <c r="D1" s="1395"/>
      <c r="E1" s="1395"/>
      <c r="F1" s="1395"/>
      <c r="G1" s="1395"/>
      <c r="H1" s="1395"/>
      <c r="I1" s="1395"/>
      <c r="J1" s="1395"/>
      <c r="K1" s="1395"/>
      <c r="L1" s="1395"/>
      <c r="M1" s="1395"/>
      <c r="N1" s="1395"/>
      <c r="O1" s="1395"/>
      <c r="P1" s="1395"/>
    </row>
    <row r="2" spans="1:16" ht="15">
      <c r="A2" s="3124" t="s">
        <v>1935</v>
      </c>
      <c r="B2" s="3124"/>
      <c r="C2" s="3124"/>
      <c r="D2" s="970" t="s">
        <v>1911</v>
      </c>
      <c r="E2" s="2225" t="s">
        <v>1912</v>
      </c>
      <c r="F2" s="1395"/>
      <c r="G2" s="2226"/>
      <c r="H2" s="2227"/>
      <c r="I2" s="2228" t="s">
        <v>1936</v>
      </c>
      <c r="J2" s="1395"/>
      <c r="K2" s="1395"/>
      <c r="L2" s="1395"/>
      <c r="M2" s="1395"/>
      <c r="N2" s="1430"/>
      <c r="O2" s="1395"/>
      <c r="P2" s="1395"/>
    </row>
    <row r="3" spans="1:16" ht="15.75" thickBot="1">
      <c r="A3" s="3125" t="s">
        <v>1909</v>
      </c>
      <c r="B3" s="3125"/>
      <c r="C3" s="3125"/>
      <c r="D3" s="46">
        <f>'数据-基础表'!AY6</f>
        <v>7681.84</v>
      </c>
      <c r="E3" s="46">
        <f>'数据-基础表'!AZ5</f>
        <v>44886.34</v>
      </c>
      <c r="F3" s="1395"/>
      <c r="G3" s="1402"/>
      <c r="H3" s="1250" t="s">
        <v>1910</v>
      </c>
      <c r="I3" s="55">
        <f>ROUND('数据-基础表'!B3/'数据-基础表'!A3,2)</f>
        <v>5.84</v>
      </c>
      <c r="J3" s="1395"/>
      <c r="K3" s="1395"/>
      <c r="L3" s="1395"/>
      <c r="M3" s="1395"/>
      <c r="N3" s="1430"/>
      <c r="O3" s="1395"/>
      <c r="P3" s="1395"/>
    </row>
    <row r="4" spans="1:16" ht="15">
      <c r="A4" s="3126"/>
      <c r="B4" s="3127"/>
      <c r="C4" s="3128"/>
      <c r="D4" s="2229" t="s">
        <v>1911</v>
      </c>
      <c r="E4" s="2230" t="s">
        <v>1912</v>
      </c>
      <c r="F4" s="1395"/>
      <c r="G4" s="2231" t="s">
        <v>1937</v>
      </c>
      <c r="H4" s="1250" t="s">
        <v>1917</v>
      </c>
      <c r="I4" s="55">
        <f>ROUND(SUMIF('数据-基础表'!I9:AS9,"地上",'数据-基础表'!I5:AS5)/'数据-基础表'!A3,2)</f>
        <v>5.84</v>
      </c>
      <c r="J4" s="1395"/>
      <c r="K4" s="1395"/>
      <c r="L4" s="1395"/>
      <c r="M4" s="1395"/>
      <c r="N4" s="1430"/>
      <c r="O4" s="1395"/>
      <c r="P4" s="1395"/>
    </row>
    <row r="5" spans="1:16">
      <c r="A5" s="47" t="s">
        <v>1913</v>
      </c>
      <c r="B5" s="3129" t="s">
        <v>1914</v>
      </c>
      <c r="C5" s="3129"/>
      <c r="D5" s="48">
        <f>ROUND($D$3*E5/$E$3,2)</f>
        <v>0</v>
      </c>
      <c r="E5" s="49">
        <f>SUMIF('数据-基础表'!$11:$11,"住宅",'数据-基础表'!$5:$5)</f>
        <v>0</v>
      </c>
      <c r="F5" s="1395"/>
      <c r="G5" s="1402"/>
      <c r="H5" s="1250" t="s">
        <v>1910</v>
      </c>
      <c r="I5" s="55">
        <f>ROUND(E31/D31,2)</f>
        <v>5.84</v>
      </c>
      <c r="J5" s="1395"/>
      <c r="K5" s="1395"/>
      <c r="L5" s="1395"/>
      <c r="M5" s="1395"/>
      <c r="N5" s="1395"/>
      <c r="O5" s="1395"/>
      <c r="P5" s="1395"/>
    </row>
    <row r="6" spans="1:16" ht="15" thickBot="1">
      <c r="A6" s="2232"/>
      <c r="B6" s="3129" t="s">
        <v>1915</v>
      </c>
      <c r="C6" s="3129"/>
      <c r="D6" s="48">
        <f>ROUND($D$3*E6/$E$3,2)</f>
        <v>7681.84</v>
      </c>
      <c r="E6" s="49">
        <f>E3-E5</f>
        <v>44886.34</v>
      </c>
      <c r="F6" s="1395"/>
      <c r="G6" s="2233" t="s">
        <v>1916</v>
      </c>
      <c r="H6" s="1402" t="s">
        <v>1917</v>
      </c>
      <c r="I6" s="942">
        <f>ROUND(F31/D31,2)</f>
        <v>5.84</v>
      </c>
      <c r="J6" s="1395"/>
      <c r="K6" s="1395"/>
      <c r="L6" s="1395"/>
      <c r="M6" s="1395"/>
      <c r="N6" s="1395"/>
      <c r="O6" s="1395"/>
      <c r="P6" s="1395"/>
    </row>
    <row r="7" spans="1:16" ht="15">
      <c r="A7" s="3121"/>
      <c r="B7" s="3122"/>
      <c r="C7" s="3123"/>
      <c r="D7" s="2229" t="s">
        <v>1911</v>
      </c>
      <c r="E7" s="2234" t="s">
        <v>1918</v>
      </c>
      <c r="F7" s="1395"/>
      <c r="G7" s="2226" t="s">
        <v>1919</v>
      </c>
      <c r="H7" s="64"/>
      <c r="I7" s="420"/>
      <c r="J7" s="1395"/>
      <c r="K7" s="1395"/>
      <c r="L7" s="1395"/>
      <c r="M7" s="1395"/>
      <c r="N7" s="1395"/>
      <c r="O7" s="1395"/>
      <c r="P7" s="1395"/>
    </row>
    <row r="8" spans="1:16">
      <c r="A8" s="47" t="s">
        <v>1920</v>
      </c>
      <c r="B8" s="50" t="s">
        <v>1921</v>
      </c>
      <c r="C8" s="48" t="s">
        <v>1922</v>
      </c>
      <c r="D8" s="48">
        <f t="shared" ref="D8:D15" si="0">ROUND($D$3*E8/$E$3,2)</f>
        <v>7681.84</v>
      </c>
      <c r="E8" s="51">
        <f>SUMIF('数据-基础表'!BB10:BK10,"地上",'数据-基础表'!BB5:BK5)</f>
        <v>44886.34</v>
      </c>
      <c r="F8" s="1395"/>
      <c r="G8" s="2235"/>
      <c r="H8" s="2235"/>
      <c r="I8" s="1395"/>
      <c r="J8" s="1395"/>
      <c r="K8" s="1395"/>
      <c r="L8" s="1395"/>
      <c r="M8" s="1395"/>
      <c r="N8" s="1395"/>
      <c r="O8" s="1395"/>
      <c r="P8" s="1395"/>
    </row>
    <row r="9" spans="1:16">
      <c r="A9" s="2236"/>
      <c r="B9" s="2237"/>
      <c r="C9" s="48" t="s">
        <v>1923</v>
      </c>
      <c r="D9" s="48">
        <f t="shared" si="0"/>
        <v>0</v>
      </c>
      <c r="E9" s="52">
        <v>0</v>
      </c>
      <c r="F9" s="1395"/>
      <c r="G9" s="2235"/>
      <c r="H9" s="2235"/>
      <c r="I9" s="1395"/>
      <c r="J9" s="1395"/>
      <c r="K9" s="1395"/>
      <c r="L9" s="1395"/>
      <c r="M9" s="1395"/>
      <c r="N9" s="1395"/>
      <c r="O9" s="1395"/>
      <c r="P9" s="1395"/>
    </row>
    <row r="10" spans="1:16">
      <c r="A10" s="2236"/>
      <c r="B10" s="2237"/>
      <c r="C10" s="48" t="s">
        <v>1932</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1924</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1925</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1926</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1938</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1933</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1927</v>
      </c>
      <c r="D16" s="50">
        <f>SUM(D8:D15)</f>
        <v>7681.84</v>
      </c>
      <c r="E16" s="53">
        <f>SUM(E8:E15)</f>
        <v>44886.34</v>
      </c>
      <c r="F16" s="1395"/>
      <c r="G16" s="2235"/>
      <c r="H16" s="2238" t="s">
        <v>1939</v>
      </c>
      <c r="I16" s="2239"/>
      <c r="J16" s="1395"/>
      <c r="K16" s="3118" t="s">
        <v>1939</v>
      </c>
      <c r="L16" s="3119"/>
      <c r="M16" s="3119"/>
      <c r="N16" s="3119"/>
      <c r="O16" s="3119"/>
      <c r="P16" s="3120"/>
    </row>
    <row r="17" spans="1:19" ht="15">
      <c r="A17" s="2240" t="s">
        <v>1940</v>
      </c>
      <c r="B17" s="2241" t="s">
        <v>1941</v>
      </c>
      <c r="C17" s="2242" t="s">
        <v>1942</v>
      </c>
      <c r="D17" s="2243" t="s">
        <v>1930</v>
      </c>
      <c r="E17" s="2244" t="s">
        <v>1931</v>
      </c>
      <c r="F17" s="2245"/>
      <c r="G17" s="2246"/>
      <c r="H17" s="2247" t="s">
        <v>1943</v>
      </c>
      <c r="I17" s="2248" t="s">
        <v>1928</v>
      </c>
      <c r="J17" s="1395"/>
      <c r="K17" s="3115" t="s">
        <v>1944</v>
      </c>
      <c r="L17" s="3116"/>
      <c r="M17" s="3117"/>
      <c r="N17" s="3115" t="s">
        <v>1945</v>
      </c>
      <c r="O17" s="3116"/>
      <c r="P17" s="3117"/>
      <c r="R17" s="2226" t="s">
        <v>1946</v>
      </c>
      <c r="S17" s="64"/>
    </row>
    <row r="18" spans="1:19" ht="15">
      <c r="A18" s="2236"/>
      <c r="B18" s="2249"/>
      <c r="C18" s="2250"/>
      <c r="D18" s="2251"/>
      <c r="E18" s="2252" t="s">
        <v>1947</v>
      </c>
      <c r="F18" s="2253" t="s">
        <v>1948</v>
      </c>
      <c r="G18" s="2254" t="s">
        <v>1949</v>
      </c>
      <c r="H18" s="1265" t="s">
        <v>1950</v>
      </c>
      <c r="I18" s="2255" t="s">
        <v>1951</v>
      </c>
      <c r="J18" s="1395"/>
      <c r="K18" s="1265" t="s">
        <v>1952</v>
      </c>
      <c r="L18" s="2256" t="s">
        <v>1953</v>
      </c>
      <c r="M18" s="1049" t="s">
        <v>1954</v>
      </c>
      <c r="N18" s="1265" t="s">
        <v>1952</v>
      </c>
      <c r="O18" s="2256" t="s">
        <v>1953</v>
      </c>
      <c r="P18" s="1049" t="s">
        <v>1954</v>
      </c>
      <c r="R18" s="1250" t="s">
        <v>1955</v>
      </c>
      <c r="S18" s="1250" t="s">
        <v>1956</v>
      </c>
    </row>
    <row r="19" spans="1:19">
      <c r="A19" s="2257"/>
      <c r="B19" s="50" t="s">
        <v>1929</v>
      </c>
      <c r="C19" s="2258" t="str">
        <f>'数据-基础表'!C13</f>
        <v>公寓</v>
      </c>
      <c r="D19" s="48">
        <f>ROUND($D$3*E19/$E$3,2)</f>
        <v>7681.84</v>
      </c>
      <c r="E19" s="56">
        <f t="shared" ref="E19:E26" si="1">SUM(F19:G19)</f>
        <v>44886.34</v>
      </c>
      <c r="F19" s="57">
        <f>'数据-基础表'!I13</f>
        <v>44886.34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7681.84</v>
      </c>
      <c r="S19" s="1251">
        <f t="shared" si="5"/>
        <v>44886.34</v>
      </c>
    </row>
    <row r="20" spans="1:19">
      <c r="A20" s="2261"/>
      <c r="B20" s="50" t="s">
        <v>1957</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1957</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1958</v>
      </c>
      <c r="D27" s="1396">
        <f>SUM(D19:D26)</f>
        <v>7681.84</v>
      </c>
      <c r="E27" s="1397">
        <f>IF(SUM(E19:E26)='数据-基础表'!BA5,SUM(E19:E26),IF(F27="地上面积有误","面积有误","地下面积有误"))</f>
        <v>44886.34</v>
      </c>
      <c r="F27" s="1396">
        <f>IF(SUM(F19:F26)=E8,SUM(F19:F26),"地上面积有误")</f>
        <v>44886.34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7681.84</v>
      </c>
      <c r="S27" s="1250">
        <f>IF(SUM(S19:S26)=$E$3,SUM(S19:S26),SUM(S19:S26)&amp;"误差"&amp;ROUND(SUM(S19:S26)-E3,2))</f>
        <v>44886.34</v>
      </c>
    </row>
    <row r="28" spans="1:19">
      <c r="A28" s="2261"/>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1959</v>
      </c>
      <c r="C29" s="2265"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1962</v>
      </c>
      <c r="D31" s="729">
        <f>D27+D30</f>
        <v>7681.84</v>
      </c>
      <c r="E31" s="729">
        <f>E27+E30</f>
        <v>44886.34</v>
      </c>
      <c r="F31" s="730">
        <f>F27+F30</f>
        <v>44886.34</v>
      </c>
      <c r="G31" s="731">
        <f>G27+G30</f>
        <v>0</v>
      </c>
      <c r="H31" s="1395"/>
      <c r="I31" s="1395"/>
      <c r="J31" s="1395"/>
      <c r="K31" s="1395"/>
      <c r="L31" s="1395"/>
      <c r="M31" s="1395"/>
      <c r="N31" s="1395"/>
      <c r="O31" s="1395"/>
      <c r="P31" s="1395"/>
    </row>
    <row r="32" spans="1:19">
      <c r="A32" s="2231"/>
      <c r="B32" s="2231" t="s">
        <v>1963</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1965</v>
      </c>
      <c r="B2" s="1269">
        <f>项目基本情况!D3</f>
        <v>43248</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1972</v>
      </c>
      <c r="B5" s="2288" t="s">
        <v>1973</v>
      </c>
      <c r="C5" s="2289" t="s">
        <v>1974</v>
      </c>
      <c r="D5" s="2290" t="s">
        <v>1975</v>
      </c>
      <c r="E5" s="1271" t="s">
        <v>1976</v>
      </c>
      <c r="F5" s="2291" t="s">
        <v>1977</v>
      </c>
      <c r="G5" s="1271" t="s">
        <v>1978</v>
      </c>
      <c r="H5" s="1271" t="s">
        <v>1979</v>
      </c>
      <c r="I5" s="1271"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70" t="s">
        <v>1992</v>
      </c>
      <c r="V5" s="1271" t="s">
        <v>1993</v>
      </c>
      <c r="W5" s="1271" t="s">
        <v>1994</v>
      </c>
      <c r="X5" s="71"/>
      <c r="Y5" s="70" t="s">
        <v>1995</v>
      </c>
      <c r="Z5" s="2301" t="s">
        <v>1992</v>
      </c>
      <c r="AA5" s="1271" t="s">
        <v>1993</v>
      </c>
      <c r="AB5" s="1271" t="s">
        <v>1994</v>
      </c>
      <c r="AC5" s="71"/>
      <c r="AD5" s="71" t="s">
        <v>1995</v>
      </c>
      <c r="AE5" s="1270" t="s">
        <v>1996</v>
      </c>
      <c r="AF5" s="1271" t="s">
        <v>1997</v>
      </c>
      <c r="AG5" s="70" t="s">
        <v>1998</v>
      </c>
      <c r="AH5" s="1270" t="s">
        <v>1999</v>
      </c>
      <c r="AI5" s="2301" t="s">
        <v>2000</v>
      </c>
      <c r="AJ5" s="2301" t="s">
        <v>2001</v>
      </c>
      <c r="AK5" s="1271" t="s">
        <v>2002</v>
      </c>
      <c r="AL5" s="1271" t="s">
        <v>2003</v>
      </c>
      <c r="AM5" s="70" t="s">
        <v>2004</v>
      </c>
      <c r="AN5" s="2302" t="s">
        <v>2005</v>
      </c>
      <c r="AO5" s="2072" t="s">
        <v>2006</v>
      </c>
      <c r="AP5" s="1252"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公寓</v>
      </c>
      <c r="B6" s="2305" t="str">
        <f>IF(A6=0,"","经营性")</f>
        <v>经营性</v>
      </c>
      <c r="C6" s="2306" t="s">
        <v>1377</v>
      </c>
      <c r="D6" s="1054">
        <f>SUMIF(项目基本情况!D$12:I$12,C6,项目基本情况!D$14:I$14)</f>
        <v>40</v>
      </c>
      <c r="E6" s="1051">
        <f>IF(B6="","",SUMIF(项目基本情况!D$12:I$12,C6,项目基本情况!D$13:I$13))</f>
        <v>57142</v>
      </c>
      <c r="F6" s="72">
        <f>SUMIF(项目基本情况!D$12:I$12,C6,项目基本情况!D$15:I$15)</f>
        <v>38.06</v>
      </c>
      <c r="G6" s="73">
        <f>IF(ISERROR(ROUND(POWER(1+H6,D6-F6)*(POWER(1+H6,F6)-1)/(POWER(1+H6,D6)-1),3)),0,ROUND(POWER(1+H6,D6-F6)*(POWER(1+H6,F6)-1)/(POWER(1+H6,D6)-1),3))</f>
        <v>0.98099999999999998</v>
      </c>
      <c r="H6" s="802">
        <v>4.4999999999999998E-2</v>
      </c>
      <c r="I6" s="802">
        <v>5.5E-2</v>
      </c>
      <c r="J6" s="74">
        <v>8.5000000000000006E-2</v>
      </c>
      <c r="K6" s="1254">
        <f>SUMIF('数据-汇总表'!C$19:C$33,A6,'数据-汇总表'!E$19:E$33)</f>
        <v>44886.34</v>
      </c>
      <c r="L6" s="803">
        <v>3000</v>
      </c>
      <c r="M6" s="75">
        <f t="shared" ref="M6:M14" si="0">ROUND(K6*L6/10000,0)</f>
        <v>13466</v>
      </c>
      <c r="N6" s="801">
        <v>0.7</v>
      </c>
      <c r="O6" s="75">
        <f>IF($N$5="成新度","——",ROUND(M6*N6,0))</f>
        <v>9426</v>
      </c>
      <c r="P6" s="76">
        <f>IF($N$5="成新度","——",M6-O6)</f>
        <v>4040</v>
      </c>
      <c r="Q6" s="804">
        <v>0.15</v>
      </c>
      <c r="R6" s="77">
        <f ca="1">SUMIF('数据-汇总表'!C$19:C$33,A6,'数据-汇总表'!R$19:R$27)</f>
        <v>7681.84</v>
      </c>
      <c r="S6" s="54">
        <f>IF('数据-汇总表'!$I$17="按面积比例",SUMIF('数据-汇总表'!C$19:C$33,A6,'数据-汇总表'!K$19:K$33),SUMIF('数据-汇总表'!C$19:C$33,A6,'数据-汇总表'!N$19:N$33))</f>
        <v>0</v>
      </c>
      <c r="T6" s="1446">
        <f>ROUND($L$14*S6/10000,0)</f>
        <v>0</v>
      </c>
      <c r="U6" s="78"/>
      <c r="V6" s="79"/>
      <c r="W6" s="79"/>
      <c r="X6" s="1264"/>
      <c r="Y6" s="80">
        <v>1</v>
      </c>
      <c r="Z6" s="81"/>
      <c r="AA6" s="74"/>
      <c r="AB6" s="74"/>
      <c r="AC6" s="1264"/>
      <c r="AD6" s="82"/>
      <c r="AE6" s="1265">
        <f ca="1">IF(AN6="",0,SUMIF(INDIRECT("'"&amp;AN6&amp;"'"&amp;"!E:E"),$AE$5,INDIRECT("'"&amp;AN6&amp;"'"&amp;"!F:F")))</f>
        <v>0</v>
      </c>
      <c r="AF6" s="1807"/>
      <c r="AG6" s="147">
        <f>IF(AF6="",0,AE6-AF6)</f>
        <v>0</v>
      </c>
      <c r="AH6" s="83"/>
      <c r="AI6" s="85">
        <v>365</v>
      </c>
      <c r="AJ6" s="86"/>
      <c r="AK6" s="87">
        <v>1.4999999999999999E-2</v>
      </c>
      <c r="AL6" s="88">
        <v>3.0000000000000001E-3</v>
      </c>
      <c r="AM6" s="89">
        <v>0.02</v>
      </c>
      <c r="AN6" s="2307" t="s">
        <v>3262</v>
      </c>
      <c r="AO6" s="55">
        <f ca="1">SUMIF(INDIRECT("'"&amp;AN6&amp;"'"&amp;"!A:A"),"总价",INDIRECT("'"&amp;AN6&amp;"'"&amp;"!B:B"))</f>
        <v>76190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hidden="1">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hidden="1">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hidden="1">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hidden="1">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hidden="1">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hidden="1">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hidden="1">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2010</v>
      </c>
      <c r="B14" s="2305" t="s">
        <v>2011</v>
      </c>
      <c r="C14" s="2310" t="s">
        <v>2010</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2012</v>
      </c>
      <c r="B15" s="2305" t="s">
        <v>2011</v>
      </c>
      <c r="C15" s="2310"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2014</v>
      </c>
      <c r="B16" s="97"/>
      <c r="C16" s="1008"/>
      <c r="D16" s="2312"/>
      <c r="E16" s="97"/>
      <c r="F16" s="97"/>
      <c r="G16" s="98">
        <f>ROUND(SUMPRODUCT(G6:G13,K6:K13)/SUMPRODUCT((G6:G13&gt;0)*(K6:K13)),3)</f>
        <v>0.98099999999999998</v>
      </c>
      <c r="H16" s="99">
        <f>ROUND(SUMPRODUCT(H6:H13,K6:K13)/SUMPRODUCT((H6:H13&gt;0)*(K6:K13)),3)</f>
        <v>4.4999999999999998E-2</v>
      </c>
      <c r="I16" s="100"/>
      <c r="J16" s="100"/>
      <c r="K16" s="101">
        <f>SUM(K6:K15)</f>
        <v>44886.34</v>
      </c>
      <c r="L16" s="102">
        <f>ROUND(M16*10000/SUM(K6:K14),0)</f>
        <v>3000</v>
      </c>
      <c r="M16" s="102">
        <f>SUM(M6:M14)</f>
        <v>13466</v>
      </c>
      <c r="N16" s="103">
        <f>ROUND(SUMPRODUCT(M6:M14,N6:N14)/M16,3)</f>
        <v>0.7</v>
      </c>
      <c r="O16" s="102">
        <f>SUM(O6:O14)</f>
        <v>9426</v>
      </c>
      <c r="P16" s="102">
        <f>SUM(P6:P14)</f>
        <v>4040</v>
      </c>
      <c r="Q16" s="104">
        <f>ROUND(SUMPRODUCT(Q6:Q13,K6:K13)/SUMPRODUCT((Q6:Q13&gt;0)*(K6:K13)),2)</f>
        <v>0.15</v>
      </c>
      <c r="R16" s="1258">
        <f ca="1">SUM(R6:R13)</f>
        <v>7681.84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2016</v>
      </c>
      <c r="B19" s="112">
        <v>0</v>
      </c>
      <c r="C19" s="2275" t="s">
        <v>2017</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2018</v>
      </c>
      <c r="B20" s="113">
        <v>2.5</v>
      </c>
      <c r="C20" s="2275" t="s">
        <v>2019</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2020</v>
      </c>
      <c r="B21" s="113">
        <v>2</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2021</v>
      </c>
      <c r="B22" s="114">
        <f>B19+B20</f>
        <v>2.5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2022</v>
      </c>
      <c r="B23" s="114">
        <f>B19+B21</f>
        <v>2</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2023</v>
      </c>
      <c r="B24" s="115">
        <f>B20-B21</f>
        <v>0.5</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2024</v>
      </c>
      <c r="B26" s="2318" t="s">
        <v>2025</v>
      </c>
      <c r="C26" s="2319" t="s">
        <v>2026</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2027</v>
      </c>
      <c r="B27" s="116">
        <v>170</v>
      </c>
      <c r="C27" s="1767" t="s">
        <v>2028</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2029</v>
      </c>
      <c r="B28" s="119">
        <v>170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2030</v>
      </c>
      <c r="B29" s="121">
        <f>ROUND(B27*K16/10000,0)</f>
        <v>763</v>
      </c>
      <c r="C29" s="1767" t="s">
        <v>2031</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2032</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2033</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2034</v>
      </c>
      <c r="B32" s="725">
        <v>0</v>
      </c>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2035</v>
      </c>
      <c r="B33" s="726">
        <v>0.03</v>
      </c>
      <c r="C33" s="1766" t="s">
        <v>2036</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2037</v>
      </c>
      <c r="B34" s="122">
        <v>0</v>
      </c>
      <c r="C34" s="1766" t="s">
        <v>2038</v>
      </c>
      <c r="D34" s="2276" t="s">
        <v>2039</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2040</v>
      </c>
      <c r="B35" s="119">
        <v>200</v>
      </c>
      <c r="C35" s="1766" t="s">
        <v>2041</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2042</v>
      </c>
      <c r="B36" s="123">
        <v>1.4999999999999999E-2</v>
      </c>
      <c r="C36" s="1766" t="s">
        <v>2043</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2044</v>
      </c>
      <c r="B37" s="124">
        <v>1.4999999999999999E-2</v>
      </c>
      <c r="C37" s="1766" t="s">
        <v>2045</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2046</v>
      </c>
      <c r="B38" s="122">
        <v>0.02</v>
      </c>
      <c r="C38" s="1766" t="s">
        <v>2045</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2047</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2048</v>
      </c>
      <c r="B40" s="1303">
        <f ca="1">存贷款利率!G1</f>
        <v>4.7500000000000001E-2</v>
      </c>
      <c r="C40" s="1766" t="s">
        <v>2049</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2050</v>
      </c>
      <c r="B41" s="125">
        <f>B42+B43</f>
        <v>5.6000000000000001E-2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2051</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2052</v>
      </c>
      <c r="B43" s="127">
        <f>B42*(B44+B45+B46)+B47</f>
        <v>6.000000000000001E-3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2053</v>
      </c>
      <c r="B44" s="128">
        <v>7.0000000000000007E-2</v>
      </c>
      <c r="C44" s="1766" t="s">
        <v>2054</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2055</v>
      </c>
      <c r="B45" s="126">
        <v>0.03</v>
      </c>
      <c r="C45" s="1767" t="s">
        <v>2056</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2057</v>
      </c>
      <c r="B46" s="126">
        <v>0.02</v>
      </c>
      <c r="C46" s="1767" t="s">
        <v>2058</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2059</v>
      </c>
      <c r="B47" s="129">
        <v>0</v>
      </c>
      <c r="C47" s="1767" t="s">
        <v>2060</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2061</v>
      </c>
      <c r="B48" s="130">
        <v>0.04</v>
      </c>
      <c r="C48" s="1774" t="s">
        <v>2062</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2063</v>
      </c>
      <c r="B49" s="126">
        <v>5.0000000000000001E-4</v>
      </c>
      <c r="C49" s="1774" t="s">
        <v>2064</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2065</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2066</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2067</v>
      </c>
      <c r="B52" s="133">
        <f>SUMIF(A54:A63,B53,B54:B63)</f>
        <v>18</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2068</v>
      </c>
      <c r="B53" s="2334" t="s">
        <v>212</v>
      </c>
      <c r="C53" s="1430" t="s">
        <v>2069</v>
      </c>
      <c r="D53" s="2335" t="s">
        <v>2070</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2071</v>
      </c>
      <c r="B54" s="84">
        <v>18</v>
      </c>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2072</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2073</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2074</v>
      </c>
      <c r="B57" s="84"/>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2075</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2076</v>
      </c>
      <c r="B59" s="84"/>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2077</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2078</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2079</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2080</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30" t="s">
        <v>2081</v>
      </c>
      <c r="B1" s="3131"/>
      <c r="C1" s="3131"/>
      <c r="D1" s="3131"/>
      <c r="E1" s="3131"/>
      <c r="F1" s="3131"/>
      <c r="G1" s="313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71"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8"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8" t="s">
        <v>2093</v>
      </c>
      <c r="C5" s="2372" t="s">
        <v>2094</v>
      </c>
      <c r="D5" s="2369"/>
      <c r="E5" s="2373"/>
      <c r="F5" s="1798" t="s">
        <v>2095</v>
      </c>
      <c r="G5" s="2374" t="s">
        <v>2096</v>
      </c>
      <c r="H5" s="2366"/>
      <c r="I5" s="2366"/>
      <c r="J5" s="2366"/>
      <c r="K5" s="2366"/>
      <c r="L5" s="2366"/>
      <c r="M5" s="2366"/>
      <c r="N5" s="2366"/>
      <c r="O5" s="2366"/>
      <c r="P5" s="2366"/>
      <c r="Q5" s="2366"/>
      <c r="R5" s="2366"/>
    </row>
    <row r="6" spans="1:29" ht="54">
      <c r="A6" s="431"/>
      <c r="B6" s="1798" t="s">
        <v>2097</v>
      </c>
      <c r="C6" s="2374" t="s">
        <v>2092</v>
      </c>
      <c r="D6" s="2369"/>
      <c r="E6" s="2373"/>
      <c r="F6" s="1798" t="s">
        <v>2098</v>
      </c>
      <c r="G6" s="2374" t="s">
        <v>2099</v>
      </c>
      <c r="H6" s="2366"/>
      <c r="I6" s="2366"/>
      <c r="J6" s="2366"/>
      <c r="K6" s="2366"/>
      <c r="L6" s="2366"/>
      <c r="M6" s="2366"/>
      <c r="N6" s="2366"/>
      <c r="O6" s="2366"/>
      <c r="P6" s="2366"/>
      <c r="Q6" s="2366"/>
      <c r="R6" s="2366"/>
    </row>
    <row r="7" spans="1:29" ht="41.25" thickBot="1">
      <c r="A7" s="431"/>
      <c r="B7" s="1798"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8" t="s">
        <v>2098</v>
      </c>
      <c r="C8" s="2374" t="s">
        <v>2099</v>
      </c>
      <c r="D8" s="2375"/>
      <c r="E8" s="2375"/>
      <c r="F8" s="1136"/>
      <c r="G8" s="1136"/>
      <c r="H8" s="2366"/>
      <c r="I8" s="2366"/>
      <c r="J8" s="2366"/>
      <c r="K8" s="2366"/>
      <c r="L8" s="2366"/>
      <c r="M8" s="2366"/>
      <c r="N8" s="2366"/>
      <c r="O8" s="2366"/>
      <c r="P8" s="2366"/>
      <c r="Q8" s="2366"/>
      <c r="R8" s="2366"/>
    </row>
    <row r="9" spans="1:29" ht="27">
      <c r="A9" s="431"/>
      <c r="B9" s="1798" t="s">
        <v>2102</v>
      </c>
      <c r="C9" s="2372" t="s">
        <v>2103</v>
      </c>
      <c r="D9" s="2369"/>
      <c r="E9" s="2375"/>
      <c r="F9" s="1136"/>
      <c r="G9" s="1136"/>
      <c r="H9" s="2366"/>
      <c r="I9" s="2366"/>
      <c r="J9" s="2366"/>
      <c r="K9" s="2366"/>
      <c r="L9" s="2366"/>
      <c r="M9" s="2366"/>
      <c r="N9" s="2366"/>
      <c r="O9" s="2366"/>
      <c r="P9" s="2366"/>
      <c r="Q9" s="2366"/>
      <c r="R9" s="2366"/>
    </row>
    <row r="10" spans="1:29" s="117" customFormat="1" ht="15.75" thickBot="1">
      <c r="A10" s="2379"/>
      <c r="B10" s="2380" t="s">
        <v>2104</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70" t="s">
        <v>2085</v>
      </c>
      <c r="C15" s="2401" t="str">
        <f>C3</f>
        <v>估价对象周边居住用地比例、居住小区规模和社区发展完善程度，综合评价居住社区成熟度一般</v>
      </c>
      <c r="D15" s="2369"/>
      <c r="E15" s="2402" t="s">
        <v>2109</v>
      </c>
      <c r="F15" s="1270"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2"/>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2"/>
      <c r="D19" s="2369"/>
      <c r="E19" s="2405"/>
      <c r="F19" s="1798"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8" t="s">
        <v>2114</v>
      </c>
      <c r="G20" s="136" t="str">
        <f>G6</f>
        <v>估价对象所在区域基础设施水平</v>
      </c>
    </row>
    <row r="21" spans="1:18" ht="28.5">
      <c r="A21" s="645"/>
      <c r="B21" s="1798" t="s">
        <v>2095</v>
      </c>
      <c r="C21" s="136" t="str">
        <f>C7</f>
        <v>估价对象所在区域公共配套设施齐备情况</v>
      </c>
      <c r="D21" s="2369"/>
      <c r="E21" s="2405"/>
      <c r="F21" s="2406" t="s">
        <v>2115</v>
      </c>
      <c r="G21" s="2407"/>
    </row>
    <row r="22" spans="1:18" ht="13.5" customHeight="1">
      <c r="A22" s="645"/>
      <c r="B22" s="1798" t="s">
        <v>2098</v>
      </c>
      <c r="C22" s="136" t="str">
        <f>C8</f>
        <v>估价对象所在区域基础设施水平</v>
      </c>
      <c r="D22" s="2369"/>
      <c r="E22" s="2405"/>
      <c r="F22" s="2406" t="s">
        <v>2104</v>
      </c>
      <c r="G22" s="1572"/>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44886.34</v>
      </c>
      <c r="C1" s="1745"/>
      <c r="D1" s="1745"/>
      <c r="E1" s="1745"/>
      <c r="F1" s="1745"/>
      <c r="G1" s="1743"/>
    </row>
    <row r="2" spans="1:10" ht="16.5">
      <c r="A2" s="1746" t="s">
        <v>1353</v>
      </c>
      <c r="B2" s="1746">
        <f>SUM(C14:C23)</f>
        <v>7681.84</v>
      </c>
      <c r="C2" s="1745"/>
      <c r="D2" s="1745"/>
      <c r="E2" s="1745"/>
      <c r="F2" s="1745"/>
      <c r="G2" s="1743"/>
    </row>
    <row r="3" spans="1:10" ht="16.5">
      <c r="A3" s="1746" t="s">
        <v>1362</v>
      </c>
      <c r="B3" s="1747">
        <f>项目基本情况!D3</f>
        <v>43248</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58072</v>
      </c>
      <c r="C5" s="1746">
        <f ca="1">ROUND(B5*10000/$B$1,0)</f>
        <v>12938</v>
      </c>
      <c r="D5" s="1746">
        <f ca="1">ROUND(B5*10000/$B$2,0)</f>
        <v>75596</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54269</v>
      </c>
      <c r="C7" s="1746">
        <f ca="1">ROUND(B7*10000/$B$1,0)</f>
        <v>12090</v>
      </c>
      <c r="D7" s="1746">
        <f ca="1">ROUND(B7*10000/$B$2,0)</f>
        <v>70646</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44886.34</v>
      </c>
      <c r="C14" s="1744">
        <f>结果表!C118</f>
        <v>7681.84</v>
      </c>
      <c r="D14" s="1744">
        <f ca="1">结果表!H118</f>
        <v>58072</v>
      </c>
      <c r="E14" s="1744">
        <f ca="1">ROUND(D14*10000/B14,0)</f>
        <v>12938</v>
      </c>
      <c r="F14" s="1744">
        <f ca="1">ROUND(D14*10000/C14,0)</f>
        <v>75596</v>
      </c>
      <c r="G14" s="1744" t="str">
        <f>结果表!D122</f>
        <v>——</v>
      </c>
      <c r="H14" s="1744">
        <f ca="1">结果表!D124</f>
        <v>54269</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4" t="str">
        <f>项目基本情况!B1</f>
        <v>河南省郑州市金水区红旗路北、经七路东出让国有建设用地使用权及在建建筑物房地产抵押价值预评估</v>
      </c>
      <c r="C37" s="3024"/>
      <c r="D37" s="3024"/>
      <c r="E37" s="3024"/>
      <c r="F37" s="3024"/>
      <c r="G37" s="3024"/>
      <c r="H37" s="3024"/>
      <c r="I37" s="3024"/>
    </row>
    <row r="38" spans="1:9">
      <c r="A38" s="1019"/>
      <c r="B38" s="1019"/>
    </row>
    <row r="39" spans="1:9">
      <c r="A39" s="1017" t="s">
        <v>818</v>
      </c>
      <c r="B39" s="1017" t="s">
        <v>820</v>
      </c>
    </row>
    <row r="40" spans="1:9">
      <c r="A40" s="1017"/>
      <c r="B40" s="1945" t="str">
        <f>项目基本情况!B5</f>
        <v>河南恒祥实业有限公司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49" sqref="I49"/>
    </sheetView>
  </sheetViews>
  <sheetFormatPr defaultColWidth="12.625" defaultRowHeight="21.75" customHeight="1"/>
  <cols>
    <col min="1" max="2" width="12.625" style="2423"/>
    <col min="3" max="4" width="12.625" style="2423" customWidth="1"/>
    <col min="5" max="9" width="12.625" style="2423"/>
    <col min="10" max="10" width="16.125" style="795" customWidth="1"/>
    <col min="11" max="11" width="12.625" style="795" customWidth="1"/>
    <col min="12" max="12" width="19.25" style="795" customWidth="1"/>
    <col min="13" max="13" width="19" style="795" customWidth="1"/>
    <col min="14" max="26" width="12.625" style="795"/>
    <col min="27" max="35" width="12.625" style="2422"/>
    <col min="36" max="16384" width="12.625" style="2423"/>
  </cols>
  <sheetData>
    <row r="1" spans="1:12" ht="21.75" customHeight="1" thickBot="1">
      <c r="A1" s="2223" t="s">
        <v>2118</v>
      </c>
      <c r="B1" s="2417"/>
      <c r="C1" s="2418"/>
      <c r="D1" s="2417"/>
      <c r="E1" s="2417"/>
      <c r="F1" s="2419" t="s">
        <v>2119</v>
      </c>
      <c r="G1" s="2069" t="s">
        <v>2120</v>
      </c>
      <c r="H1" s="2420" t="str">
        <f>IF(G1="现房","——","估价对象范围")</f>
        <v>估价对象范围</v>
      </c>
      <c r="I1" s="2421" t="s">
        <v>3337</v>
      </c>
    </row>
    <row r="2" spans="1:12" ht="21.75" customHeight="1" thickBot="1">
      <c r="A2" s="3165" t="str">
        <f>项目基本情况!S2</f>
        <v>河南省郑州市金水区红旗路北、经七路东出让国有建设用地使用权及在建建筑物房地产</v>
      </c>
      <c r="B2" s="3166"/>
      <c r="C2" s="3166"/>
      <c r="D2" s="3166"/>
      <c r="E2" s="3166"/>
      <c r="F2" s="3166"/>
      <c r="G2" s="3166"/>
      <c r="H2" s="3166"/>
      <c r="I2" s="3167"/>
    </row>
    <row r="3" spans="1:12" ht="12.75">
      <c r="A3" s="3169" t="s">
        <v>2121</v>
      </c>
      <c r="B3" s="3170"/>
      <c r="C3" s="3170"/>
      <c r="D3" s="3170"/>
      <c r="E3" s="3170"/>
      <c r="F3" s="3170"/>
      <c r="G3" s="3170"/>
      <c r="H3" s="3170"/>
      <c r="I3" s="3170"/>
    </row>
    <row r="4" spans="1:12" ht="14.25">
      <c r="A4" s="2424" t="s">
        <v>2122</v>
      </c>
      <c r="B4" s="2425" t="s">
        <v>2123</v>
      </c>
      <c r="C4" s="2426" t="s">
        <v>3335</v>
      </c>
      <c r="D4" s="2426" t="s">
        <v>3336</v>
      </c>
      <c r="E4" s="3162" t="s">
        <v>2124</v>
      </c>
      <c r="F4" s="3163"/>
      <c r="G4" s="3163"/>
      <c r="H4" s="3163"/>
      <c r="I4" s="317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45" t="s">
        <v>2125</v>
      </c>
      <c r="B5" s="3068">
        <v>25</v>
      </c>
      <c r="C5" s="3148"/>
      <c r="D5" s="3168"/>
      <c r="E5" s="140" t="s">
        <v>2126</v>
      </c>
      <c r="F5" s="2428"/>
      <c r="G5" s="2428"/>
      <c r="H5" s="2428"/>
      <c r="I5" s="1834"/>
    </row>
    <row r="6" spans="1:12" ht="12.75" hidden="1">
      <c r="A6" s="3145"/>
      <c r="B6" s="3068"/>
      <c r="C6" s="3149"/>
      <c r="D6" s="3168"/>
      <c r="E6" s="140" t="s">
        <v>2127</v>
      </c>
      <c r="F6" s="2428"/>
      <c r="G6" s="2428"/>
      <c r="H6" s="2428"/>
      <c r="I6" s="1834"/>
    </row>
    <row r="7" spans="1:12" ht="12.75" hidden="1">
      <c r="A7" s="3145"/>
      <c r="B7" s="3068"/>
      <c r="C7" s="3150"/>
      <c r="D7" s="3168"/>
      <c r="E7" s="140" t="s">
        <v>2128</v>
      </c>
      <c r="F7" s="2428"/>
      <c r="G7" s="2428"/>
      <c r="H7" s="2428"/>
      <c r="I7" s="1834"/>
    </row>
    <row r="8" spans="1:12" ht="12.75" hidden="1">
      <c r="A8" s="3145" t="s">
        <v>2129</v>
      </c>
      <c r="B8" s="3068">
        <v>15</v>
      </c>
      <c r="C8" s="3148"/>
      <c r="D8" s="3168"/>
      <c r="E8" s="140" t="s">
        <v>2130</v>
      </c>
      <c r="F8" s="2428"/>
      <c r="G8" s="2428"/>
      <c r="H8" s="2428"/>
      <c r="I8" s="1834"/>
    </row>
    <row r="9" spans="1:12" ht="12.75" hidden="1">
      <c r="A9" s="3145"/>
      <c r="B9" s="3068"/>
      <c r="C9" s="3150"/>
      <c r="D9" s="3168"/>
      <c r="E9" s="140" t="s">
        <v>2131</v>
      </c>
      <c r="F9" s="2428"/>
      <c r="G9" s="2428"/>
      <c r="H9" s="2428"/>
      <c r="I9" s="1834"/>
    </row>
    <row r="10" spans="1:12" ht="12.75" hidden="1">
      <c r="A10" s="3145" t="s">
        <v>2132</v>
      </c>
      <c r="B10" s="3068">
        <v>15</v>
      </c>
      <c r="C10" s="3148"/>
      <c r="D10" s="3168"/>
      <c r="E10" s="140" t="s">
        <v>2133</v>
      </c>
      <c r="F10" s="2428"/>
      <c r="G10" s="2428"/>
      <c r="H10" s="2428"/>
      <c r="I10" s="1834"/>
    </row>
    <row r="11" spans="1:12" ht="12.75" hidden="1">
      <c r="A11" s="3145"/>
      <c r="B11" s="3068"/>
      <c r="C11" s="3150"/>
      <c r="D11" s="3168"/>
      <c r="E11" s="140" t="s">
        <v>2134</v>
      </c>
      <c r="F11" s="2428"/>
      <c r="G11" s="2428"/>
      <c r="H11" s="2428"/>
      <c r="I11" s="1834"/>
    </row>
    <row r="12" spans="1:12" ht="12.75" hidden="1">
      <c r="A12" s="3145" t="s">
        <v>2135</v>
      </c>
      <c r="B12" s="3068">
        <v>15</v>
      </c>
      <c r="C12" s="3148"/>
      <c r="D12" s="3168"/>
      <c r="E12" s="140" t="s">
        <v>2136</v>
      </c>
      <c r="F12" s="2428"/>
      <c r="G12" s="2428"/>
      <c r="H12" s="2428"/>
      <c r="I12" s="1834"/>
    </row>
    <row r="13" spans="1:12" ht="12.75" hidden="1">
      <c r="A13" s="3145"/>
      <c r="B13" s="3068"/>
      <c r="C13" s="3150"/>
      <c r="D13" s="3168"/>
      <c r="E13" s="140" t="s">
        <v>2137</v>
      </c>
      <c r="F13" s="2428"/>
      <c r="G13" s="2428"/>
      <c r="H13" s="2428"/>
      <c r="I13" s="1834"/>
    </row>
    <row r="14" spans="1:12" ht="12.75">
      <c r="A14" s="3145" t="s">
        <v>2138</v>
      </c>
      <c r="B14" s="3068">
        <v>30</v>
      </c>
      <c r="C14" s="3148">
        <v>5</v>
      </c>
      <c r="D14" s="3168">
        <v>5</v>
      </c>
      <c r="E14" s="140" t="s">
        <v>2139</v>
      </c>
      <c r="F14" s="2428"/>
      <c r="G14" s="2428"/>
      <c r="H14" s="2428"/>
      <c r="I14" s="1834"/>
    </row>
    <row r="15" spans="1:12" ht="12.75">
      <c r="A15" s="3145"/>
      <c r="B15" s="3068"/>
      <c r="C15" s="3149"/>
      <c r="D15" s="3168"/>
      <c r="E15" s="140" t="s">
        <v>2140</v>
      </c>
      <c r="F15" s="2428"/>
      <c r="G15" s="2428"/>
      <c r="H15" s="2428"/>
      <c r="I15" s="1834"/>
    </row>
    <row r="16" spans="1:12" ht="12.75">
      <c r="A16" s="3145"/>
      <c r="B16" s="3068"/>
      <c r="C16" s="3150"/>
      <c r="D16" s="3168"/>
      <c r="E16" s="140" t="s">
        <v>2141</v>
      </c>
      <c r="F16" s="2428"/>
      <c r="G16" s="2428"/>
      <c r="H16" s="2428"/>
      <c r="I16" s="1834"/>
    </row>
    <row r="17" spans="1:35" ht="15">
      <c r="A17" s="2429" t="s">
        <v>2142</v>
      </c>
      <c r="B17" s="64"/>
      <c r="C17" s="141">
        <f>SUM(C5:C16)</f>
        <v>5</v>
      </c>
      <c r="D17" s="141">
        <f>SUM(D5:D16)</f>
        <v>5</v>
      </c>
      <c r="E17" s="138"/>
      <c r="F17" s="138"/>
      <c r="G17" s="138"/>
      <c r="H17" s="138"/>
      <c r="I17" s="138"/>
      <c r="K17" s="2427"/>
      <c r="L17" s="2430" t="s">
        <v>2143</v>
      </c>
      <c r="M17" s="2430" t="s">
        <v>2144</v>
      </c>
    </row>
    <row r="18" spans="1:35" ht="15.75" thickBot="1">
      <c r="A18" s="2431" t="s">
        <v>2145</v>
      </c>
      <c r="B18" s="2432"/>
      <c r="C18" s="142">
        <f>ROUND(C17/SUM(C17:D17),2)</f>
        <v>0.5</v>
      </c>
      <c r="D18" s="142">
        <f>1-C18</f>
        <v>0.5</v>
      </c>
      <c r="E18" s="138"/>
      <c r="F18" s="138"/>
      <c r="G18" s="138"/>
      <c r="H18" s="138"/>
      <c r="I18" s="138"/>
      <c r="K18" s="2427" t="s">
        <v>2146</v>
      </c>
      <c r="L18" s="2427">
        <f>IF(C1="",'数据-汇总表'!E3,SUMIF(项目类型,C1,'数据-汇总表'!E17:E26)+SUMIF(项目类型,C1,'数据-汇总表'!I17:I26))</f>
        <v>44886.34</v>
      </c>
      <c r="M18" s="2427">
        <f>IF(C1="",'数据-汇总表'!E3,SUMIF(项目类型,C1,'数据-汇总表'!E17:E26))</f>
        <v>44886.34</v>
      </c>
    </row>
    <row r="19" spans="1:35" ht="15">
      <c r="A19" s="2433" t="s">
        <v>2147</v>
      </c>
      <c r="B19" s="2434" t="s">
        <v>2148</v>
      </c>
      <c r="C19" s="143">
        <f ca="1">SUMIF(INDIRECT("'"&amp;C4&amp;"'"&amp;"!A:A"),结果表!B19,INDIRECT("'"&amp;C4&amp;"'"&amp;"!B:B"))</f>
        <v>55550</v>
      </c>
      <c r="D19" s="144">
        <f ca="1">SUMIF(INDIRECT("'"&amp;D4&amp;"'"&amp;"!A:A"),结果表!B19,INDIRECT("'"&amp;D4&amp;"'"&amp;"!B:B"))</f>
        <v>60593</v>
      </c>
      <c r="E19" s="2433" t="s">
        <v>2149</v>
      </c>
      <c r="F19" s="2434" t="s">
        <v>2148</v>
      </c>
      <c r="G19" s="145">
        <f ca="1">ROUND(C19*$C$18+D19*$D$18,0)</f>
        <v>58072</v>
      </c>
      <c r="H19" s="2435" t="s">
        <v>2150</v>
      </c>
      <c r="I19" s="138"/>
      <c r="K19" s="2427" t="s">
        <v>2151</v>
      </c>
      <c r="L19" s="2427">
        <f>IF(C1="",'数据-汇总表'!D3,SUMIF(项目类型,C1,'数据-汇总表'!D17:D26)+SUMIF(项目类型,C1,'数据-汇总表'!H17:H27))</f>
        <v>7681.84</v>
      </c>
      <c r="M19" s="2427">
        <f>IF(C1="",'数据-汇总表'!D3,SUMIF(项目类型,C1,'数据-汇总表'!D17:D26))</f>
        <v>7681.84</v>
      </c>
    </row>
    <row r="20" spans="1:35" ht="15">
      <c r="A20" s="2436"/>
      <c r="B20" s="1250" t="s">
        <v>2152</v>
      </c>
      <c r="C20" s="146">
        <f ca="1">SUMIF(INDIRECT("'"&amp;C4&amp;"'"&amp;"!A:A"),结果表!B20,INDIRECT("'"&amp;C4&amp;"'"&amp;"!B:B"))</f>
        <v>12376</v>
      </c>
      <c r="D20" s="147">
        <f ca="1">SUMIF(INDIRECT("'"&amp;D4&amp;"'"&amp;"!A:A"),结果表!B20,INDIRECT("'"&amp;D4&amp;"'"&amp;"!B:B"))</f>
        <v>13499</v>
      </c>
      <c r="E20" s="2436"/>
      <c r="F20" s="1250" t="s">
        <v>2152</v>
      </c>
      <c r="G20" s="148">
        <f ca="1">ROUND(C20*$C$18+D20*$D$18,0)</f>
        <v>12938</v>
      </c>
      <c r="H20" s="983" t="s">
        <v>2153</v>
      </c>
      <c r="I20" s="138"/>
    </row>
    <row r="21" spans="1:35" ht="15" customHeight="1" thickBot="1">
      <c r="A21" s="1003"/>
      <c r="B21" s="2437" t="s">
        <v>2154</v>
      </c>
      <c r="C21" s="789">
        <f ca="1">ROUND(C19*10000/L19,0)</f>
        <v>72313</v>
      </c>
      <c r="D21" s="790">
        <f ca="1">ROUND(D19*10000/L19,0)</f>
        <v>78878</v>
      </c>
      <c r="E21" s="1003"/>
      <c r="F21" s="2437" t="s">
        <v>2154</v>
      </c>
      <c r="G21" s="149">
        <f ca="1">ROUND(G19*10000/L19,0)</f>
        <v>75596</v>
      </c>
      <c r="H21" s="2438" t="s">
        <v>2153</v>
      </c>
      <c r="I21" s="138"/>
    </row>
    <row r="22" spans="1:35" ht="15" thickBot="1">
      <c r="A22" s="2279" t="s">
        <v>2155</v>
      </c>
      <c r="B22" s="2439"/>
      <c r="C22" s="2440"/>
      <c r="D22" s="791">
        <f ca="1">IF(C19&lt;D19,D19/C19-1,C19/D19-1)</f>
        <v>9.0783078307830722E-2</v>
      </c>
      <c r="E22" s="138"/>
      <c r="F22" s="138"/>
      <c r="G22" s="138"/>
      <c r="H22" s="138"/>
      <c r="I22" s="138"/>
    </row>
    <row r="23" spans="1:35" ht="13.5" hidden="1" thickBot="1">
      <c r="A23" s="2417"/>
      <c r="B23" s="2417"/>
      <c r="C23" s="2417"/>
      <c r="D23" s="2417"/>
      <c r="E23" s="138"/>
      <c r="F23" s="138"/>
      <c r="G23" s="138"/>
      <c r="H23" s="138"/>
      <c r="I23" s="138"/>
    </row>
    <row r="24" spans="1:35" ht="14.25" hidden="1">
      <c r="A24" s="3139" t="s">
        <v>2156</v>
      </c>
      <c r="B24" s="2434" t="s">
        <v>2148</v>
      </c>
      <c r="C24" s="145">
        <f>IF(B30=0,0,D30)</f>
        <v>0</v>
      </c>
      <c r="D24" s="2441"/>
      <c r="E24" s="138"/>
      <c r="F24" s="138"/>
      <c r="G24" s="138"/>
      <c r="H24" s="138"/>
      <c r="I24" s="138"/>
    </row>
    <row r="25" spans="1:35" ht="14.25" hidden="1">
      <c r="A25" s="3140"/>
      <c r="B25" s="1250" t="s">
        <v>2152</v>
      </c>
      <c r="C25" s="150">
        <f>IF(B30=0,0,C30)</f>
        <v>0</v>
      </c>
      <c r="D25" s="2442"/>
      <c r="E25" s="138"/>
      <c r="F25" s="138"/>
      <c r="G25" s="138"/>
      <c r="H25" s="138"/>
      <c r="I25" s="138"/>
    </row>
    <row r="26" spans="1:35" ht="13.5" hidden="1" customHeight="1">
      <c r="A26" s="2443" t="s">
        <v>2157</v>
      </c>
      <c r="B26" s="151" t="s">
        <v>2158</v>
      </c>
      <c r="C26" s="151" t="s">
        <v>2159</v>
      </c>
      <c r="D26" s="152" t="s">
        <v>2160</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2161</v>
      </c>
      <c r="B30" s="151"/>
      <c r="C30" s="151"/>
      <c r="D30" s="151"/>
      <c r="E30" s="2926" t="s">
        <v>3034</v>
      </c>
      <c r="F30" s="138"/>
      <c r="G30" s="138"/>
      <c r="H30" s="138"/>
      <c r="I30" s="138"/>
    </row>
    <row r="31" spans="1:35" s="2445" customFormat="1" ht="15" hidden="1" thickBot="1">
      <c r="A31" s="2444"/>
      <c r="B31" s="2444"/>
      <c r="C31" s="2444"/>
      <c r="D31" s="2444"/>
      <c r="E31" s="138"/>
      <c r="F31" s="138"/>
      <c r="G31" s="138"/>
      <c r="H31" s="138"/>
      <c r="I31" s="138"/>
      <c r="J31" s="795"/>
      <c r="K31" s="795" t="s">
        <v>3339</v>
      </c>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58072</v>
      </c>
      <c r="D32" s="2448" t="s">
        <v>2163</v>
      </c>
      <c r="E32" s="138"/>
      <c r="F32" s="138"/>
      <c r="G32" s="138"/>
      <c r="H32" s="138"/>
      <c r="I32" s="138"/>
      <c r="K32" s="795">
        <v>10343</v>
      </c>
      <c r="L32" s="795" t="s">
        <v>3340</v>
      </c>
    </row>
    <row r="33" spans="1:15" ht="15">
      <c r="A33" s="960" t="s">
        <v>2164</v>
      </c>
      <c r="B33" s="2449"/>
      <c r="C33" s="2450" t="s">
        <v>3338</v>
      </c>
      <c r="D33" s="2451" t="s">
        <v>3335</v>
      </c>
      <c r="E33" s="2452" t="s">
        <v>2165</v>
      </c>
      <c r="F33" s="2453" t="str">
        <f>IF(D32="楼面单价","取值（单价）","取值（总价）")</f>
        <v>取值（总价）</v>
      </c>
      <c r="G33" s="138"/>
      <c r="H33" s="138"/>
      <c r="I33" s="138"/>
      <c r="J33" s="795" t="s">
        <v>3376</v>
      </c>
      <c r="K33" s="3019">
        <f>'数据-基础表'!I13+K37</f>
        <v>86389.061409513757</v>
      </c>
      <c r="L33" s="2985">
        <f>ROUND(K33/(K33+K34),2)</f>
        <v>0.17</v>
      </c>
    </row>
    <row r="34" spans="1:15" ht="15">
      <c r="A34" s="2454"/>
      <c r="B34" s="2455" t="s">
        <v>2166</v>
      </c>
      <c r="C34" s="157">
        <f ca="1">IF(C33="自定义",F34,C32-C35)</f>
        <v>43670</v>
      </c>
      <c r="D34" s="1058">
        <f ca="1">IF(C33="自定义",ROUND(C34/C32,3),IF(C33="收益比率",SUMIF(INDIRECT("'"&amp;D33&amp;"'"&amp;"!b:b"),"土地收益比率",INDIRECT("'"&amp;D33&amp;"'"&amp;"!c:c")),SUMIF(INDIRECT("'"&amp;D33&amp;"'"&amp;"!b:b"),"土地成本比率",INDIRECT("'"&amp;D33&amp;"'"&amp;"!c:c"))))</f>
        <v>0.752</v>
      </c>
      <c r="E34" s="2456" t="s">
        <v>2167</v>
      </c>
      <c r="F34" s="1739"/>
      <c r="G34" s="138"/>
      <c r="H34" s="138"/>
      <c r="I34" s="138"/>
      <c r="J34" s="795" t="s">
        <v>3341</v>
      </c>
      <c r="K34" s="795">
        <f>'数据-基础表'!B3-结果表!K33</f>
        <v>422132.65859048621</v>
      </c>
      <c r="L34" s="2985">
        <f>1-L33</f>
        <v>0.83</v>
      </c>
    </row>
    <row r="35" spans="1:15" ht="15.75" thickBot="1">
      <c r="A35" s="2457"/>
      <c r="B35" s="2458" t="s">
        <v>2168</v>
      </c>
      <c r="C35" s="1444">
        <f ca="1">IF(C33="自定义",F35,ROUND(C32*D35,0))</f>
        <v>14402</v>
      </c>
      <c r="D35" s="1445">
        <f ca="1">IF(C33="自定义",ROUND(C35/C32,3),IF(C33="收益比率",SUMIF(INDIRECT("'"&amp;D33&amp;"'"&amp;"!b:b"),"建筑物收益比率",INDIRECT("'"&amp;D33&amp;"'"&amp;"!c:c")),SUMIF(INDIRECT("'"&amp;D33&amp;"'"&amp;"!b:b"),"建筑物成本比率",INDIRECT("'"&amp;D33&amp;"'"&amp;"!c:c"))))</f>
        <v>0.248</v>
      </c>
      <c r="E35" s="2459" t="s">
        <v>2169</v>
      </c>
      <c r="F35" s="163"/>
      <c r="G35" s="138"/>
      <c r="H35" s="138"/>
      <c r="I35" s="138"/>
    </row>
    <row r="36" spans="1:15" ht="15.75" thickBot="1">
      <c r="A36" s="3157" t="s">
        <v>2170</v>
      </c>
      <c r="B36" s="2460" t="s">
        <v>2171</v>
      </c>
      <c r="C36" s="154"/>
      <c r="D36" s="2461" t="s">
        <v>3379</v>
      </c>
      <c r="E36" s="2462"/>
      <c r="F36" s="2463"/>
      <c r="G36" s="138"/>
      <c r="H36" s="138"/>
      <c r="I36" s="138"/>
      <c r="J36" s="3018" t="s">
        <v>3375</v>
      </c>
      <c r="K36" s="795">
        <f>B40</f>
        <v>182973.67</v>
      </c>
    </row>
    <row r="37" spans="1:15" ht="15.75" thickBot="1">
      <c r="A37" s="3158"/>
      <c r="B37" s="2265" t="s">
        <v>2172</v>
      </c>
      <c r="C37" s="156">
        <f>ROUND(K32*L33,0)</f>
        <v>1758</v>
      </c>
      <c r="D37" s="1395"/>
      <c r="E37" s="1395"/>
      <c r="F37" s="2463"/>
      <c r="G37" s="138"/>
      <c r="H37" s="138"/>
      <c r="I37" s="138"/>
      <c r="J37" s="3018" t="s">
        <v>3377</v>
      </c>
      <c r="K37" s="3019">
        <f>'数据-汇总表'!F19/K38*K36</f>
        <v>41502.721409513761</v>
      </c>
    </row>
    <row r="38" spans="1:15" ht="15.75" thickBot="1">
      <c r="A38" s="3159"/>
      <c r="B38" s="2464" t="s">
        <v>2173</v>
      </c>
      <c r="C38" s="727">
        <f>ROUND(E40+E41,0)</f>
        <v>2045</v>
      </c>
      <c r="D38" s="2465" t="s">
        <v>2174</v>
      </c>
      <c r="E38" s="1395"/>
      <c r="F38" s="2463"/>
      <c r="G38" s="138"/>
      <c r="H38" s="138"/>
      <c r="I38" s="138"/>
      <c r="J38" s="3018" t="s">
        <v>3378</v>
      </c>
      <c r="K38" s="795">
        <f>380864.75-K36</f>
        <v>197891.08</v>
      </c>
    </row>
    <row r="39" spans="1:15" ht="15">
      <c r="A39" s="2436" t="s">
        <v>2175</v>
      </c>
      <c r="B39" s="2466" t="s">
        <v>2176</v>
      </c>
      <c r="C39" s="2467" t="s">
        <v>2177</v>
      </c>
      <c r="D39" s="2467" t="s">
        <v>2178</v>
      </c>
      <c r="E39" s="2468" t="s">
        <v>2179</v>
      </c>
      <c r="F39" s="2463"/>
      <c r="G39" s="138"/>
      <c r="H39" s="138"/>
      <c r="I39" s="138"/>
    </row>
    <row r="40" spans="1:15" ht="14.25">
      <c r="A40" s="2469" t="s">
        <v>2180</v>
      </c>
      <c r="B40" s="158">
        <f>面积表!H77</f>
        <v>182973.67</v>
      </c>
      <c r="C40" s="159">
        <v>400</v>
      </c>
      <c r="D40" s="2986">
        <v>0.08</v>
      </c>
      <c r="E40" s="160">
        <f>ROUND(B40*C40*(1+D40)*L33/10000,0)</f>
        <v>1344</v>
      </c>
      <c r="F40" s="2463"/>
      <c r="G40" s="138"/>
      <c r="H40" s="138"/>
      <c r="I40" s="138"/>
    </row>
    <row r="41" spans="1:15" ht="14.25">
      <c r="A41" s="2469" t="s">
        <v>2181</v>
      </c>
      <c r="B41" s="158"/>
      <c r="C41" s="159"/>
      <c r="D41" s="159"/>
      <c r="E41" s="160">
        <f>ROUND(4125*L33,0)</f>
        <v>701</v>
      </c>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36" t="s">
        <v>2184</v>
      </c>
      <c r="B45" s="3137"/>
      <c r="C45" s="3138"/>
      <c r="D45" s="164">
        <f ca="1">ROUND(H101*F45,0)</f>
        <v>58072</v>
      </c>
      <c r="E45" s="165" t="s">
        <v>2185</v>
      </c>
      <c r="F45" s="166">
        <v>1</v>
      </c>
      <c r="G45" s="167" t="s">
        <v>2186</v>
      </c>
      <c r="H45" s="138"/>
      <c r="I45" s="138"/>
      <c r="J45" s="3196" t="s">
        <v>2187</v>
      </c>
      <c r="K45" s="3196"/>
      <c r="L45" s="3196"/>
      <c r="M45" s="3196"/>
      <c r="N45" s="3196"/>
      <c r="O45" s="3196"/>
    </row>
    <row r="46" spans="1:15" ht="14.25" customHeight="1">
      <c r="A46" s="3133" t="s">
        <v>2188</v>
      </c>
      <c r="B46" s="3134"/>
      <c r="C46" s="3134"/>
      <c r="D46" s="3134"/>
      <c r="E46" s="3134"/>
      <c r="F46" s="3134"/>
      <c r="G46" s="3135"/>
      <c r="H46" s="2479"/>
      <c r="I46" s="168"/>
      <c r="J46" s="1812">
        <v>1</v>
      </c>
      <c r="K46" s="3196" t="s">
        <v>2189</v>
      </c>
      <c r="L46" s="3196"/>
      <c r="M46" s="3216"/>
      <c r="N46" s="3216"/>
      <c r="O46" s="3216"/>
    </row>
    <row r="47" spans="1:15" ht="12" customHeight="1">
      <c r="A47" s="169" t="s">
        <v>2190</v>
      </c>
      <c r="B47" s="170"/>
      <c r="C47" s="171"/>
      <c r="D47" s="172" t="s">
        <v>2191</v>
      </c>
      <c r="E47" s="24" t="s">
        <v>2192</v>
      </c>
      <c r="F47" s="173" t="s">
        <v>2193</v>
      </c>
      <c r="G47" s="174" t="s">
        <v>2194</v>
      </c>
      <c r="H47" s="2479"/>
      <c r="I47" s="168"/>
      <c r="J47" s="1812">
        <v>2</v>
      </c>
      <c r="K47" s="3196" t="s">
        <v>2195</v>
      </c>
      <c r="L47" s="3196"/>
      <c r="M47" s="3217">
        <f>'数据-取费表'!B2</f>
        <v>43248</v>
      </c>
      <c r="N47" s="3217"/>
      <c r="O47" s="3217"/>
    </row>
    <row r="48" spans="1:15" ht="25.5">
      <c r="A48" s="3164" t="s">
        <v>2196</v>
      </c>
      <c r="B48" s="3147"/>
      <c r="C48" s="3147"/>
      <c r="D48" s="140">
        <f ca="1">IF(H48="情况1",0,IF(H48="情况2",D52,IF(H48="情况3",D53,IF(H48="情况4",D54))))</f>
        <v>3097</v>
      </c>
      <c r="E48" s="1801" t="str">
        <f>IF(H48="情况4","(销售额-原购置价)×税（费）率","销售额×税（费）率")</f>
        <v>销售额×税（费）率</v>
      </c>
      <c r="F48" s="175">
        <f>IF(H48="情况1","免征",'数据-取费表'!B41)</f>
        <v>5.6000000000000001E-2</v>
      </c>
      <c r="G48" s="2480" t="s">
        <v>2197</v>
      </c>
      <c r="H48" s="2481" t="s">
        <v>3371</v>
      </c>
      <c r="I48" s="2479"/>
      <c r="J48" s="1812">
        <v>3</v>
      </c>
      <c r="K48" s="3196" t="s">
        <v>2198</v>
      </c>
      <c r="L48" s="3196"/>
      <c r="M48" s="3218">
        <f ca="1">H101</f>
        <v>58072</v>
      </c>
      <c r="N48" s="3218"/>
      <c r="O48" s="3218"/>
    </row>
    <row r="49" spans="1:35" ht="25.5" customHeight="1">
      <c r="A49" s="176" t="s">
        <v>2199</v>
      </c>
      <c r="B49" s="3132" t="s">
        <v>2200</v>
      </c>
      <c r="C49" s="3132"/>
      <c r="D49" s="177">
        <v>0</v>
      </c>
      <c r="E49" s="23" t="s">
        <v>2201</v>
      </c>
      <c r="F49" s="28" t="s">
        <v>34</v>
      </c>
      <c r="G49" s="3202"/>
      <c r="H49" s="138"/>
      <c r="I49" s="2482"/>
      <c r="J49" s="1812">
        <v>4</v>
      </c>
      <c r="K49" s="3196" t="str">
        <f>IF(项目基本情况!E8="房地产抵押价值","房地产抵押价值","抵押担保权已注销时的房地产抵押价值")</f>
        <v>抵押担保权已注销时的房地产抵押价值</v>
      </c>
      <c r="L49" s="3196"/>
      <c r="M49" s="3218">
        <f ca="1">IF(项目基本情况!E8="房地产抵押价值",H107,H109)</f>
        <v>54269</v>
      </c>
      <c r="N49" s="3218"/>
      <c r="O49" s="3218"/>
    </row>
    <row r="50" spans="1:35" ht="25.5" customHeight="1">
      <c r="A50" s="178"/>
      <c r="B50" s="3132" t="s">
        <v>2202</v>
      </c>
      <c r="C50" s="3132"/>
      <c r="D50" s="179"/>
      <c r="E50" s="31"/>
      <c r="F50" s="180"/>
      <c r="G50" s="3203"/>
      <c r="H50" s="138"/>
      <c r="I50" s="2482"/>
      <c r="J50" s="3196" t="s">
        <v>2203</v>
      </c>
      <c r="K50" s="3196"/>
      <c r="L50" s="3196"/>
      <c r="M50" s="3196"/>
      <c r="N50" s="3196"/>
      <c r="O50" s="3196"/>
    </row>
    <row r="51" spans="1:35" ht="12" customHeight="1">
      <c r="A51" s="181"/>
      <c r="B51" s="3132" t="s">
        <v>2204</v>
      </c>
      <c r="C51" s="3132"/>
      <c r="D51" s="182"/>
      <c r="E51" s="30"/>
      <c r="F51" s="180"/>
      <c r="G51" s="3204"/>
      <c r="H51" s="138"/>
      <c r="I51" s="2482"/>
      <c r="J51" s="2483" t="s">
        <v>2205</v>
      </c>
      <c r="K51" s="3196" t="s">
        <v>2206</v>
      </c>
      <c r="L51" s="3196"/>
      <c r="M51" s="2483" t="s">
        <v>2207</v>
      </c>
      <c r="N51" s="2483" t="s">
        <v>2208</v>
      </c>
      <c r="O51" s="2483" t="s">
        <v>2209</v>
      </c>
    </row>
    <row r="52" spans="1:35" ht="24" customHeight="1">
      <c r="A52" s="183" t="s">
        <v>2210</v>
      </c>
      <c r="B52" s="3132" t="s">
        <v>2211</v>
      </c>
      <c r="C52" s="3132"/>
      <c r="D52" s="182">
        <f ca="1">ROUND(D45*'数据-取费表'!B41/(1+'数据-取费表'!C42),0)</f>
        <v>3097</v>
      </c>
      <c r="E52" s="11" t="s">
        <v>2212</v>
      </c>
      <c r="F52" s="184">
        <f>'数据-取费表'!B41</f>
        <v>5.6000000000000001E-2</v>
      </c>
      <c r="G52" s="2484"/>
      <c r="H52" s="138"/>
      <c r="I52" s="2482"/>
      <c r="J52" s="1812">
        <v>1</v>
      </c>
      <c r="K52" s="3197" t="s">
        <v>2213</v>
      </c>
      <c r="L52" s="3197"/>
      <c r="M52" s="1754">
        <f ca="1">D48</f>
        <v>3097</v>
      </c>
      <c r="N52" s="1812" t="str">
        <f>E48</f>
        <v>销售额×税（费）率</v>
      </c>
      <c r="O52" s="1755">
        <f>F48</f>
        <v>5.6000000000000001E-2</v>
      </c>
    </row>
    <row r="53" spans="1:35" ht="12" customHeight="1">
      <c r="A53" s="183" t="s">
        <v>2214</v>
      </c>
      <c r="B53" s="3155" t="s">
        <v>2215</v>
      </c>
      <c r="C53" s="3156"/>
      <c r="D53" s="182">
        <f ca="1">ROUND(D45*'数据-取费表'!B41/(1+'数据-取费表'!C42),0)</f>
        <v>3097</v>
      </c>
      <c r="E53" s="11" t="s">
        <v>2212</v>
      </c>
      <c r="F53" s="184">
        <f>'数据-取费表'!B41</f>
        <v>5.6000000000000001E-2</v>
      </c>
      <c r="G53" s="2484"/>
      <c r="H53" s="138"/>
      <c r="I53" s="2482"/>
      <c r="J53" s="1812">
        <v>2</v>
      </c>
      <c r="K53" s="3197" t="s">
        <v>2216</v>
      </c>
      <c r="L53" s="3197"/>
      <c r="M53" s="1754">
        <f t="shared" ref="M53:O54" ca="1" si="0">D55</f>
        <v>29</v>
      </c>
      <c r="N53" s="1812" t="str">
        <f t="shared" si="0"/>
        <v>销售额×税（费）率</v>
      </c>
      <c r="O53" s="1755">
        <f t="shared" si="0"/>
        <v>5.0000000000000001E-4</v>
      </c>
    </row>
    <row r="54" spans="1:35" ht="12" customHeight="1">
      <c r="A54" s="183" t="s">
        <v>2217</v>
      </c>
      <c r="B54" s="3155" t="s">
        <v>2218</v>
      </c>
      <c r="C54" s="3156"/>
      <c r="D54" s="182">
        <f ca="1">C68</f>
        <v>3097</v>
      </c>
      <c r="E54" s="30" t="s">
        <v>2219</v>
      </c>
      <c r="F54" s="184">
        <f>'数据-取费表'!B41</f>
        <v>5.6000000000000001E-2</v>
      </c>
      <c r="G54" s="2484"/>
      <c r="H54" s="2485"/>
      <c r="I54" s="2482"/>
      <c r="J54" s="1812">
        <v>3</v>
      </c>
      <c r="K54" s="3197" t="s">
        <v>2220</v>
      </c>
      <c r="L54" s="3197"/>
      <c r="M54" s="1754">
        <f t="shared" ca="1" si="0"/>
        <v>1766</v>
      </c>
      <c r="N54" s="1812" t="str">
        <f t="shared" si="0"/>
        <v>增值额×税（费）率</v>
      </c>
      <c r="O54" s="1756" t="str">
        <f t="shared" si="0"/>
        <v>——</v>
      </c>
    </row>
    <row r="55" spans="1:35" ht="24" customHeight="1">
      <c r="A55" s="3146" t="s">
        <v>2221</v>
      </c>
      <c r="B55" s="3147"/>
      <c r="C55" s="3147"/>
      <c r="D55" s="185">
        <f ca="1">IF(H55="个人住宅",0,ROUND(D45*I55,0))</f>
        <v>29</v>
      </c>
      <c r="E55" s="11" t="s">
        <v>2222</v>
      </c>
      <c r="F55" s="184">
        <f>IF(H55="正常",I55,"免征")</f>
        <v>5.0000000000000001E-4</v>
      </c>
      <c r="G55" s="2484"/>
      <c r="H55" s="2481" t="s">
        <v>2223</v>
      </c>
      <c r="I55" s="186">
        <f>'数据-取费表'!B49</f>
        <v>5.0000000000000001E-4</v>
      </c>
      <c r="J55" s="1812" t="str">
        <f>IF(H59="非个人房产","",4)</f>
        <v/>
      </c>
      <c r="K55" s="3197" t="str">
        <f>IF(H59="非个人房产","——","个人所得税")</f>
        <v>——</v>
      </c>
      <c r="L55" s="3197"/>
      <c r="M55" s="1757" t="str">
        <f>D59</f>
        <v>——</v>
      </c>
      <c r="N55" s="1810" t="str">
        <f>E59</f>
        <v>——</v>
      </c>
      <c r="O55" s="1758" t="str">
        <f>F59</f>
        <v>——</v>
      </c>
    </row>
    <row r="56" spans="1:35" ht="24.75">
      <c r="A56" s="3146" t="s">
        <v>2224</v>
      </c>
      <c r="B56" s="3147"/>
      <c r="C56" s="3147"/>
      <c r="D56" s="185">
        <f ca="1">IF(H56="个人住宅",D57,D58)</f>
        <v>1766</v>
      </c>
      <c r="E56" s="11" t="s">
        <v>2225</v>
      </c>
      <c r="F56" s="184" t="str">
        <f>IF(H56="正常",F58,"免征")</f>
        <v>——</v>
      </c>
      <c r="G56" s="2486" t="s">
        <v>2226</v>
      </c>
      <c r="H56" s="2487" t="s">
        <v>2223</v>
      </c>
      <c r="I56" s="2488"/>
      <c r="J56" s="1812" t="str">
        <f>IF(项目基本情况!K6="上海银行",IF(J55="",4,J55+1),"")</f>
        <v/>
      </c>
      <c r="K56" s="3220" t="str">
        <f>IF(项目基本情况!K6="上海银行","其他处置费用","")</f>
        <v/>
      </c>
      <c r="L56" s="3221"/>
      <c r="M56" s="1754" t="str">
        <f>IF(项目基本情况!K6="上海银行",M69,"")</f>
        <v/>
      </c>
      <c r="N56" s="3223" t="str">
        <f>IF(项目基本情况!K6="上海银行","包含处置中涉及的律师、诉讼、拍卖、评估等费用","")</f>
        <v/>
      </c>
      <c r="O56" s="3224"/>
    </row>
    <row r="57" spans="1:35" ht="12.75">
      <c r="A57" s="183" t="s">
        <v>2199</v>
      </c>
      <c r="B57" s="3162" t="s">
        <v>2227</v>
      </c>
      <c r="C57" s="3171"/>
      <c r="D57" s="187">
        <v>0</v>
      </c>
      <c r="E57" s="23" t="s">
        <v>2201</v>
      </c>
      <c r="F57" s="155"/>
      <c r="G57" s="2484"/>
      <c r="H57" s="2488"/>
      <c r="I57" s="2488"/>
      <c r="J57" s="3197">
        <f>IF(AND(J55="",J56=""),4,IF(项目基本情况!K6="上海银行",结果表!J56+1,结果表!J55+1))</f>
        <v>4</v>
      </c>
      <c r="K57" s="3197" t="s">
        <v>2228</v>
      </c>
      <c r="L57" s="2489" t="s">
        <v>2229</v>
      </c>
      <c r="M57" s="1759"/>
      <c r="N57" s="1760">
        <f ca="1">SUMIF(M52:M56,"&lt;9e307")</f>
        <v>4892</v>
      </c>
      <c r="O57" s="2490"/>
      <c r="P57" s="1753">
        <f ca="1">N57/M49</f>
        <v>9.0143544196502612E-2</v>
      </c>
    </row>
    <row r="58" spans="1:35" ht="24.75">
      <c r="A58" s="183" t="s">
        <v>2210</v>
      </c>
      <c r="B58" s="3162" t="s">
        <v>2230</v>
      </c>
      <c r="C58" s="3163"/>
      <c r="D58" s="185">
        <f ca="1">IF(H58="转让取得",C81,C97)</f>
        <v>1766</v>
      </c>
      <c r="E58" s="11" t="s">
        <v>2225</v>
      </c>
      <c r="F58" s="24" t="s">
        <v>34</v>
      </c>
      <c r="G58" s="2484"/>
      <c r="H58" s="2487" t="s">
        <v>2231</v>
      </c>
      <c r="I58" s="2488"/>
      <c r="J58" s="3197"/>
      <c r="K58" s="3197"/>
      <c r="L58" s="2489" t="s">
        <v>2232</v>
      </c>
      <c r="M58" s="1761"/>
      <c r="N58" s="2491" t="str">
        <f ca="1">NUMBERSTRING(INT(N57*10000),2)&amp;"元整"</f>
        <v>肆仟捌佰玖拾贰万元整</v>
      </c>
      <c r="O58" s="2492"/>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8">
        <f>J57+1</f>
        <v>5</v>
      </c>
      <c r="K59" s="3197" t="s">
        <v>2235</v>
      </c>
      <c r="L59" s="1812" t="s">
        <v>2229</v>
      </c>
      <c r="M59" s="1762"/>
      <c r="N59" s="1763">
        <f ca="1">M49-N57</f>
        <v>49377</v>
      </c>
      <c r="O59" s="2494"/>
    </row>
    <row r="60" spans="1:35" ht="12" customHeight="1">
      <c r="A60" s="2495"/>
      <c r="B60" s="2417"/>
      <c r="C60" s="2417"/>
      <c r="D60" s="2417"/>
      <c r="E60" s="2164"/>
      <c r="F60" s="2488"/>
      <c r="G60" s="2488"/>
      <c r="H60" s="2496"/>
      <c r="I60" s="138"/>
      <c r="J60" s="3199"/>
      <c r="K60" s="3197"/>
      <c r="L60" s="2489" t="s">
        <v>2232</v>
      </c>
      <c r="M60" s="1761"/>
      <c r="N60" s="2491" t="str">
        <f ca="1">NUMBERSTRING(INT(N59*10000),2)&amp;"元整"</f>
        <v>肆亿玖仟叁佰柒拾柒万元整</v>
      </c>
      <c r="O60" s="2492"/>
    </row>
    <row r="61" spans="1:35" ht="13.5" thickBot="1">
      <c r="A61" s="3144" t="s">
        <v>2236</v>
      </c>
      <c r="B61" s="3144"/>
      <c r="C61" s="3144"/>
      <c r="D61" s="3144"/>
      <c r="E61" s="3144"/>
      <c r="F61" s="2488"/>
      <c r="G61" s="2488"/>
      <c r="H61" s="2496"/>
      <c r="I61" s="138"/>
      <c r="J61" s="1812">
        <f>J59+1</f>
        <v>6</v>
      </c>
      <c r="K61" s="3197" t="s">
        <v>2237</v>
      </c>
      <c r="L61" s="3197"/>
      <c r="M61" s="1764"/>
      <c r="N61" s="1765">
        <f ca="1">ROUND(N59*10000/'数据-汇总表'!E3,0)</f>
        <v>11000</v>
      </c>
      <c r="O61" s="2497"/>
    </row>
    <row r="62" spans="1:35" ht="12.75">
      <c r="A62" s="3160" t="s">
        <v>2238</v>
      </c>
      <c r="B62" s="3161"/>
      <c r="C62" s="1804"/>
      <c r="D62" s="1804" t="s">
        <v>2239</v>
      </c>
      <c r="E62" s="192" t="s">
        <v>2240</v>
      </c>
      <c r="F62" s="2488"/>
      <c r="G62" s="2488"/>
      <c r="H62" s="2496"/>
      <c r="I62" s="138"/>
    </row>
    <row r="63" spans="1:35" ht="12.75">
      <c r="A63" s="203" t="s">
        <v>775</v>
      </c>
      <c r="B63" s="193" t="s">
        <v>2241</v>
      </c>
      <c r="C63" s="194">
        <f ca="1">ROUND((C64+C65)/(1+'数据-取费表'!C42),0)</f>
        <v>55307</v>
      </c>
      <c r="D63" s="195"/>
      <c r="E63" s="196"/>
      <c r="F63" s="2488"/>
      <c r="G63" s="2488"/>
      <c r="H63" s="2496"/>
      <c r="I63" s="138"/>
      <c r="J63" s="3222" t="s">
        <v>2242</v>
      </c>
      <c r="K63" s="2498" t="s">
        <v>2243</v>
      </c>
      <c r="L63" s="1752">
        <f ca="1">IF(M49&gt;10000,M49*0.5%,IF(AND(M49&gt;1000,M49&lt;=10000),M49*1%,IF(AND(M49&gt;100,M49&lt;=1000),M49*3%,IF(AND(M49&gt;10,M49&lt;=100),M49*5%,M49*8%))))</f>
        <v>271.34500000000003</v>
      </c>
      <c r="M63" s="24">
        <f ca="1">ROUND(L63,1)</f>
        <v>271.3</v>
      </c>
      <c r="Z63" s="2422"/>
      <c r="AI63" s="2423"/>
    </row>
    <row r="64" spans="1:35" ht="14.25" customHeight="1">
      <c r="A64" s="197" t="s">
        <v>770</v>
      </c>
      <c r="B64" s="198" t="s">
        <v>2244</v>
      </c>
      <c r="C64" s="199">
        <f ca="1">D45</f>
        <v>58072</v>
      </c>
      <c r="D64" s="200" t="s">
        <v>32</v>
      </c>
      <c r="E64" s="201"/>
      <c r="F64" s="2488"/>
      <c r="G64" s="2488"/>
      <c r="H64" s="2496"/>
      <c r="I64" s="138"/>
      <c r="J64" s="3222"/>
      <c r="K64" s="2498" t="s">
        <v>2245</v>
      </c>
      <c r="L64" s="1752">
        <f ca="1">IF(M49&gt;2000,M49*0.5%,IF(AND(M49&gt;1000,M49&lt;=2000),M49*0.6%,IF(AND(M49&gt;500,M49&lt;=1000),M49*0.7%,IF(AND(M49&gt;200,M49&lt;=500),M49*0.8%,IF(AND(M49&gt;100,M49&lt;=200),M49*0.9%,IF(AND(M49&gt;50,M49&lt;=100),M49*1%,IF(AND(M49&gt;20,M49&lt;=50),M49*1.5%,IF(AND(M49&gt;10,M49&lt;=20),M49*2%,IF(AND(M49&gt;1,M49&lt;=10),M49*2.5%)))))))))</f>
        <v>271.34500000000003</v>
      </c>
      <c r="M64" s="24">
        <f t="shared" ref="M64:M65" ca="1" si="1">ROUND(L64,1)</f>
        <v>271.3</v>
      </c>
      <c r="N64" s="138" t="s">
        <v>2246</v>
      </c>
      <c r="Z64" s="2422"/>
      <c r="AI64" s="2423"/>
    </row>
    <row r="65" spans="1:35" ht="14.25" customHeight="1">
      <c r="A65" s="197" t="s">
        <v>771</v>
      </c>
      <c r="B65" s="198" t="s">
        <v>2247</v>
      </c>
      <c r="C65" s="202"/>
      <c r="D65" s="200"/>
      <c r="E65" s="201"/>
      <c r="F65" s="2488"/>
      <c r="G65" s="2488"/>
      <c r="H65" s="2496"/>
      <c r="I65" s="138"/>
      <c r="J65" s="3222"/>
      <c r="K65" s="2498" t="s">
        <v>2248</v>
      </c>
      <c r="L65" s="1752">
        <f ca="1">IF(M49&gt;1000,M49*0.1%,IF(AND(M49&gt;500,M49&lt;=1000),M49*0.5%,IF(AND(M49&gt;50,M49&lt;=500),M49*1%,IF(AND(M49&gt;1,M49&lt;=50),M49*1.5%))))</f>
        <v>54.268999999999998</v>
      </c>
      <c r="M65" s="24">
        <f t="shared" ca="1" si="1"/>
        <v>54.3</v>
      </c>
      <c r="N65" s="138" t="s">
        <v>2246</v>
      </c>
      <c r="Z65" s="2422"/>
      <c r="AI65" s="2423"/>
    </row>
    <row r="66" spans="1:35" ht="14.25" customHeight="1">
      <c r="A66" s="203" t="s">
        <v>772</v>
      </c>
      <c r="B66" s="204" t="s">
        <v>2249</v>
      </c>
      <c r="C66" s="205"/>
      <c r="D66" s="206" t="s">
        <v>32</v>
      </c>
      <c r="E66" s="1776" t="s">
        <v>1371</v>
      </c>
      <c r="F66" s="2488"/>
      <c r="G66" s="2488"/>
      <c r="H66" s="2496"/>
      <c r="I66" s="138"/>
      <c r="J66" s="3222"/>
      <c r="K66" s="2498" t="s">
        <v>2250</v>
      </c>
      <c r="L66" s="1752">
        <f ca="1">M49*0.5%</f>
        <v>271.34500000000003</v>
      </c>
      <c r="M66" s="24">
        <f ca="1">IF(L66&gt;0.5,0.5,ROUND(L66,0))</f>
        <v>0.5</v>
      </c>
      <c r="N66" s="138" t="s">
        <v>2251</v>
      </c>
      <c r="Z66" s="2422"/>
      <c r="AI66" s="2423"/>
    </row>
    <row r="67" spans="1:35" ht="14.25" customHeight="1">
      <c r="A67" s="203" t="s">
        <v>773</v>
      </c>
      <c r="B67" s="204" t="s">
        <v>2252</v>
      </c>
      <c r="C67" s="207">
        <f ca="1">C63-C66</f>
        <v>55307</v>
      </c>
      <c r="D67" s="200" t="s">
        <v>32</v>
      </c>
      <c r="E67" s="201"/>
      <c r="F67" s="2488"/>
      <c r="G67" s="2488"/>
      <c r="H67" s="2496"/>
      <c r="I67" s="138"/>
      <c r="J67" s="3222"/>
      <c r="K67" s="2498" t="s">
        <v>2253</v>
      </c>
      <c r="L67" s="1752">
        <f ca="1">IF(M49&gt;=10000,(8.25+(M49-10000)*0.01%),IF(AND(M49&gt;=8000,M49&lt;10000),(7.85+(M49-8000)*0.02%),IF(AND(M49&gt;=5000,M49&lt;8000),(6.65+(M49-5000)*0.04%),IF(AND(M49&gt;=2000,M49&lt;5000),(4.25+(PM49-2000)*0.08%),IF(AND(M49&gt;=1000,M49&lt;2000),(2.75+(M49-1000)*0.15%),IF(AND(M49&gt;=100,M49&lt;1000),(0.5+(M49-100)*0.25%),IF(AND(M49&gt;0,M49&lt;100),M49*0.5%)))))))</f>
        <v>12.6769</v>
      </c>
      <c r="M67" s="24">
        <f ca="1">ROUND(L67*0.9,1)</f>
        <v>11.4</v>
      </c>
      <c r="Z67" s="2422"/>
      <c r="AI67" s="2423"/>
    </row>
    <row r="68" spans="1:35" ht="14.25" customHeight="1" thickBot="1">
      <c r="A68" s="208" t="s">
        <v>774</v>
      </c>
      <c r="B68" s="209" t="s">
        <v>2254</v>
      </c>
      <c r="C68" s="210">
        <f ca="1">IF(C67&lt;=0,0,ROUND(C67*D68,0))</f>
        <v>3097</v>
      </c>
      <c r="D68" s="211">
        <f>'数据-取费表'!B41</f>
        <v>5.6000000000000001E-2</v>
      </c>
      <c r="E68" s="212"/>
      <c r="F68" s="2488"/>
      <c r="G68" s="2488"/>
      <c r="H68" s="2496"/>
      <c r="I68" s="138"/>
      <c r="J68" s="3222"/>
      <c r="K68" s="2498" t="s">
        <v>2255</v>
      </c>
      <c r="L68" s="1752">
        <f ca="1">IF(M49&gt;10000,M49*0.5%,IF(AND(M49&gt;5000,M49&lt;=10000),M49*1%,IF(AND(M49&gt;1000,M49&lt;=5000),M49*2%,IF(AND(M49&gt;200,M49&lt;=1000),M49*3%,M49*5%))))</f>
        <v>271.34500000000003</v>
      </c>
      <c r="M68" s="24">
        <f ca="1">ROUND(L68,1)</f>
        <v>271.3</v>
      </c>
      <c r="Z68" s="2422"/>
      <c r="AI68" s="2423"/>
    </row>
    <row r="69" spans="1:35" s="2445" customFormat="1" ht="16.5" customHeight="1">
      <c r="A69" s="2499"/>
      <c r="B69" s="2500"/>
      <c r="C69" s="2501"/>
      <c r="D69" s="2502"/>
      <c r="E69" s="2503"/>
      <c r="F69" s="2164"/>
      <c r="G69" s="2164"/>
      <c r="H69" s="2163"/>
      <c r="I69" s="2417"/>
      <c r="J69" s="3222"/>
      <c r="K69" s="2498" t="s">
        <v>2256</v>
      </c>
      <c r="L69" s="2504"/>
      <c r="M69" s="24">
        <f ca="1">ROUND(SUM(M63:M68),0)</f>
        <v>880</v>
      </c>
      <c r="N69" s="1753">
        <f ca="1">M69/M49</f>
        <v>1.6215518988741271E-2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81" t="s">
        <v>2257</v>
      </c>
      <c r="B70" s="3182"/>
      <c r="C70" s="3182"/>
      <c r="D70" s="3182"/>
      <c r="E70" s="3182"/>
      <c r="F70" s="3182"/>
      <c r="G70" s="3182"/>
      <c r="H70" s="318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0" t="s">
        <v>2238</v>
      </c>
      <c r="B71" s="3161"/>
      <c r="C71" s="1804"/>
      <c r="D71" s="180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55307</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332</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0.25">
      <c r="A75" s="217" t="s">
        <v>776</v>
      </c>
      <c r="B75" s="198" t="s">
        <v>2261</v>
      </c>
      <c r="C75" s="218"/>
      <c r="D75" s="200" t="s">
        <v>32</v>
      </c>
      <c r="E75" s="219" t="s">
        <v>2262</v>
      </c>
      <c r="F75" s="2510" t="s">
        <v>2263</v>
      </c>
      <c r="G75" s="219" t="s">
        <v>2264</v>
      </c>
      <c r="H75" s="220">
        <v>5</v>
      </c>
      <c r="I75" s="2511"/>
      <c r="J75" s="3225" t="s">
        <v>3342</v>
      </c>
      <c r="K75" s="3225"/>
      <c r="L75" s="3225"/>
      <c r="M75" s="3225"/>
      <c r="N75" s="298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thickBot="1">
      <c r="A76" s="217" t="s">
        <v>777</v>
      </c>
      <c r="B76" s="221" t="s">
        <v>2265</v>
      </c>
      <c r="C76" s="200">
        <f>IF(F75="购房发票",ROUND(C75*H75*D76,0),0)</f>
        <v>0</v>
      </c>
      <c r="D76" s="222">
        <v>0.05</v>
      </c>
      <c r="E76" s="3155" t="s">
        <v>2266</v>
      </c>
      <c r="F76" s="3132"/>
      <c r="G76" s="3132"/>
      <c r="H76" s="3180"/>
      <c r="I76" s="2509"/>
      <c r="J76" s="2988"/>
      <c r="K76" s="2988"/>
      <c r="L76" s="2988"/>
      <c r="M76" s="2989" t="s">
        <v>3343</v>
      </c>
      <c r="N76" s="298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2" t="s">
        <v>2269</v>
      </c>
      <c r="H77" s="1808" t="str">
        <f>IF(G77="个人买卖住房","免征印花税"," ")</f>
        <v xml:space="preserve"> </v>
      </c>
      <c r="I77" s="2509"/>
      <c r="J77" s="2990" t="s">
        <v>3344</v>
      </c>
      <c r="K77" s="2991" t="s">
        <v>3345</v>
      </c>
      <c r="L77" s="2992" t="s">
        <v>3346</v>
      </c>
      <c r="M77" s="2993" t="s">
        <v>3347</v>
      </c>
      <c r="N77" s="298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332</v>
      </c>
      <c r="D78" s="226">
        <f>'数据-取费表'!B43</f>
        <v>6.000000000000001E-3</v>
      </c>
      <c r="E78" s="3141" t="s">
        <v>2271</v>
      </c>
      <c r="F78" s="3142"/>
      <c r="G78" s="3142"/>
      <c r="H78" s="3151"/>
      <c r="I78" s="2513"/>
      <c r="J78" s="2994">
        <v>1</v>
      </c>
      <c r="K78" s="2995" t="s">
        <v>3348</v>
      </c>
      <c r="L78" s="2996" t="s">
        <v>3349</v>
      </c>
      <c r="M78" s="2997">
        <v>698910000</v>
      </c>
      <c r="N78" s="298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54975</v>
      </c>
      <c r="D79" s="200" t="s">
        <v>32</v>
      </c>
      <c r="E79" s="1803"/>
      <c r="F79" s="1797"/>
      <c r="G79" s="1797"/>
      <c r="H79" s="216"/>
      <c r="I79" s="2509"/>
      <c r="J79" s="2994">
        <v>2</v>
      </c>
      <c r="K79" s="2998" t="s">
        <v>3350</v>
      </c>
      <c r="L79" s="2996" t="s">
        <v>3349</v>
      </c>
      <c r="M79" s="2999">
        <v>100000000</v>
      </c>
      <c r="N79" s="3000"/>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165.58734939759037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994"/>
      <c r="K80" s="2998"/>
      <c r="L80" s="2996"/>
      <c r="M80" s="2999"/>
      <c r="N80" s="3000"/>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32869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3226" t="s">
        <v>3351</v>
      </c>
      <c r="K81" s="3226"/>
      <c r="L81" s="3001"/>
      <c r="M81" s="2999">
        <f>SUM(M78:M80)</f>
        <v>798910000</v>
      </c>
      <c r="N81" s="3000"/>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3000"/>
      <c r="K82" s="3000"/>
      <c r="L82" s="3000"/>
      <c r="M82" s="3000"/>
      <c r="N82" s="3000"/>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1" t="s">
        <v>2275</v>
      </c>
      <c r="B83" s="3182"/>
      <c r="C83" s="3182"/>
      <c r="D83" s="3182"/>
      <c r="E83" s="3182"/>
      <c r="F83" s="3182"/>
      <c r="G83" s="3182"/>
      <c r="H83" s="3182"/>
      <c r="I83" s="2511"/>
      <c r="J83" s="3000"/>
      <c r="K83" s="3000"/>
      <c r="L83" s="3000"/>
      <c r="M83" s="3000">
        <f>M81/10000</f>
        <v>79891</v>
      </c>
      <c r="N83" s="3000"/>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0" t="s">
        <v>2238</v>
      </c>
      <c r="B84" s="3161"/>
      <c r="C84" s="1804"/>
      <c r="D84" s="1804" t="s">
        <v>2239</v>
      </c>
      <c r="E84" s="213" t="s">
        <v>2240</v>
      </c>
      <c r="F84" s="214"/>
      <c r="G84" s="214"/>
      <c r="H84" s="233"/>
      <c r="I84" s="2511"/>
      <c r="J84" s="3000"/>
      <c r="K84" s="3000"/>
      <c r="L84" s="3000"/>
      <c r="M84" s="3000"/>
      <c r="N84" s="3000"/>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55307</v>
      </c>
      <c r="D85" s="200" t="s">
        <v>32</v>
      </c>
      <c r="E85" s="1803"/>
      <c r="F85" s="1797"/>
      <c r="G85" s="1797"/>
      <c r="H85" s="234"/>
      <c r="I85" s="2511"/>
      <c r="J85" s="3000"/>
      <c r="K85" s="3000"/>
      <c r="L85" s="3000"/>
      <c r="M85" s="3000"/>
      <c r="N85" s="3000"/>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49421.659839960004</v>
      </c>
      <c r="D86" s="235"/>
      <c r="E86" s="1803"/>
      <c r="F86" s="1797"/>
      <c r="G86" s="1797"/>
      <c r="H86" s="234"/>
      <c r="I86" s="2511"/>
      <c r="J86" s="3000"/>
      <c r="K86" s="3000"/>
      <c r="L86" s="3000"/>
      <c r="M86" s="3000"/>
      <c r="N86" s="3000"/>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20673</v>
      </c>
      <c r="D87" s="226"/>
      <c r="E87" s="1799"/>
      <c r="F87" s="1800"/>
      <c r="G87" s="1800"/>
      <c r="H87" s="1802"/>
      <c r="I87" s="2511"/>
      <c r="J87" s="3000"/>
      <c r="K87" s="3000"/>
      <c r="L87" s="3000"/>
      <c r="M87" s="3000"/>
      <c r="N87" s="3000"/>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20.25">
      <c r="A88" s="217" t="s">
        <v>776</v>
      </c>
      <c r="B88" s="198" t="s">
        <v>2277</v>
      </c>
      <c r="C88" s="236">
        <f>ROUND(L93*L33/10000,0)</f>
        <v>19868</v>
      </c>
      <c r="D88" s="226"/>
      <c r="E88" s="237" t="s">
        <v>2278</v>
      </c>
      <c r="F88" s="1800"/>
      <c r="G88" s="238" t="s">
        <v>2279</v>
      </c>
      <c r="H88" s="2516" t="s">
        <v>3372</v>
      </c>
      <c r="I88" s="2511"/>
      <c r="J88" s="3000"/>
      <c r="K88" s="3227" t="s">
        <v>3352</v>
      </c>
      <c r="L88" s="3227"/>
      <c r="M88" s="3227"/>
      <c r="N88" s="322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805</v>
      </c>
      <c r="D89" s="226">
        <f>'数据-取费表'!B48+'数据-取费表'!B49</f>
        <v>4.0500000000000001E-2</v>
      </c>
      <c r="E89" s="237" t="s">
        <v>2280</v>
      </c>
      <c r="F89" s="1800"/>
      <c r="G89" s="1800"/>
      <c r="H89" s="1802"/>
      <c r="I89" s="2511"/>
      <c r="J89" s="3000"/>
      <c r="K89" s="3000"/>
      <c r="L89" s="3000"/>
      <c r="M89" s="3000"/>
      <c r="N89" s="3000"/>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f>(L92+L91)/10000*L33</f>
        <v>6949.2298399599995</v>
      </c>
      <c r="D90" s="226"/>
      <c r="E90" s="237" t="str">
        <f>IF(H88="-","土地取得成本中已包含该笔费用"," ")</f>
        <v xml:space="preserve"> </v>
      </c>
      <c r="F90" s="1800"/>
      <c r="G90" s="1800"/>
      <c r="H90" s="1802"/>
      <c r="I90" s="2511"/>
      <c r="J90" s="3002" t="s">
        <v>608</v>
      </c>
      <c r="K90" s="3003" t="s">
        <v>3353</v>
      </c>
      <c r="L90" s="3004" t="s">
        <v>3354</v>
      </c>
      <c r="M90" s="3005" t="s">
        <v>3355</v>
      </c>
      <c r="N90" s="3000"/>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10139.43</v>
      </c>
      <c r="D91" s="226"/>
      <c r="E91" s="3141" t="s">
        <v>2284</v>
      </c>
      <c r="F91" s="3142"/>
      <c r="G91" s="3142"/>
      <c r="H91" s="2517" t="s">
        <v>2285</v>
      </c>
      <c r="I91" s="2518">
        <f>ROUND(((L95+L96+L97+L98+L99+L100+L101-M81)*L33/10000),2)</f>
        <v>10139.43</v>
      </c>
      <c r="J91" s="3002">
        <v>1</v>
      </c>
      <c r="K91" s="3003" t="s">
        <v>3356</v>
      </c>
      <c r="L91" s="3006">
        <v>356375052.22999996</v>
      </c>
      <c r="M91" s="3007" t="s">
        <v>3357</v>
      </c>
      <c r="N91" s="3000"/>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3776</v>
      </c>
      <c r="D92" s="226">
        <v>0.1</v>
      </c>
      <c r="E92" s="3141" t="s">
        <v>2288</v>
      </c>
      <c r="F92" s="3142"/>
      <c r="G92" s="3142"/>
      <c r="H92" s="3151"/>
      <c r="I92" s="2511"/>
      <c r="J92" s="3002">
        <v>2</v>
      </c>
      <c r="K92" s="3003" t="s">
        <v>3358</v>
      </c>
      <c r="L92" s="3008">
        <v>52403173.649999999</v>
      </c>
      <c r="M92" s="3007" t="s">
        <v>3359</v>
      </c>
      <c r="N92" s="3000"/>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332</v>
      </c>
      <c r="D93" s="226">
        <f>'数据-取费表'!B43</f>
        <v>6.000000000000001E-3</v>
      </c>
      <c r="E93" s="3141" t="s">
        <v>2271</v>
      </c>
      <c r="F93" s="3142"/>
      <c r="G93" s="3142"/>
      <c r="H93" s="3151"/>
      <c r="I93" s="2511"/>
      <c r="J93" s="3002">
        <v>3</v>
      </c>
      <c r="K93" s="3009" t="s">
        <v>3360</v>
      </c>
      <c r="L93" s="3008">
        <v>1168730000</v>
      </c>
      <c r="M93" s="3007" t="s">
        <v>3361</v>
      </c>
      <c r="N93" s="3000"/>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7552</v>
      </c>
      <c r="D94" s="226">
        <v>0.2</v>
      </c>
      <c r="E94" s="3152" t="s">
        <v>2292</v>
      </c>
      <c r="F94" s="3153"/>
      <c r="G94" s="3153"/>
      <c r="H94" s="3154"/>
      <c r="I94" s="2511"/>
      <c r="J94" s="3002">
        <v>4</v>
      </c>
      <c r="K94" s="3010" t="s">
        <v>3362</v>
      </c>
      <c r="L94" s="3008">
        <v>50299955.039999999</v>
      </c>
      <c r="M94" s="3007" t="s">
        <v>3361</v>
      </c>
      <c r="N94" s="3000"/>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5885</v>
      </c>
      <c r="D95" s="200" t="s">
        <v>32</v>
      </c>
      <c r="E95" s="1803"/>
      <c r="F95" s="1797"/>
      <c r="G95" s="1797"/>
      <c r="H95" s="234"/>
      <c r="I95" s="2511"/>
      <c r="J95" s="3002">
        <v>5</v>
      </c>
      <c r="K95" s="3009" t="s">
        <v>3363</v>
      </c>
      <c r="L95" s="3008">
        <v>114911443.90000001</v>
      </c>
      <c r="M95" s="3007" t="s">
        <v>3361</v>
      </c>
      <c r="N95" s="3000"/>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0.11907734420610594</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1"/>
      <c r="J96" s="3002">
        <v>6</v>
      </c>
      <c r="K96" s="3011" t="s">
        <v>3364</v>
      </c>
      <c r="L96" s="3008">
        <v>579749427.42999995</v>
      </c>
      <c r="M96" s="3007" t="s">
        <v>3361</v>
      </c>
      <c r="N96" s="3000"/>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1766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1"/>
      <c r="J97" s="3002">
        <v>7</v>
      </c>
      <c r="K97" s="3009" t="s">
        <v>3365</v>
      </c>
      <c r="L97" s="3012">
        <v>213201336.18000001</v>
      </c>
      <c r="M97" s="3007" t="s">
        <v>3361</v>
      </c>
      <c r="N97" s="3000"/>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c r="J98" s="3002">
        <v>8</v>
      </c>
      <c r="K98" s="3009" t="s">
        <v>3366</v>
      </c>
      <c r="L98" s="3008">
        <v>300527121.81999999</v>
      </c>
      <c r="M98" s="3007" t="s">
        <v>3361</v>
      </c>
      <c r="N98" s="3000"/>
    </row>
    <row r="99" spans="1:35" ht="21.75" customHeight="1" thickBot="1">
      <c r="A99" s="2473" t="s">
        <v>2293</v>
      </c>
      <c r="B99" s="2417"/>
      <c r="C99" s="2417"/>
      <c r="D99" s="2417"/>
      <c r="E99" s="2164"/>
      <c r="F99" s="2164"/>
      <c r="G99" s="2164"/>
      <c r="H99" s="2163"/>
      <c r="I99" s="138"/>
      <c r="J99" s="3002">
        <v>9</v>
      </c>
      <c r="K99" s="3009" t="s">
        <v>3367</v>
      </c>
      <c r="L99" s="3008">
        <v>82005277.650000006</v>
      </c>
      <c r="M99" s="3007" t="s">
        <v>3361</v>
      </c>
      <c r="N99" s="3000"/>
    </row>
    <row r="100" spans="1:35" ht="18.75" customHeight="1">
      <c r="A100" s="3126" t="s">
        <v>2294</v>
      </c>
      <c r="B100" s="3127"/>
      <c r="C100" s="3127"/>
      <c r="D100" s="3143"/>
      <c r="E100" s="3127" t="s">
        <v>2295</v>
      </c>
      <c r="F100" s="3127"/>
      <c r="G100" s="3127"/>
      <c r="H100" s="3143"/>
      <c r="I100" s="138"/>
      <c r="J100" s="3002">
        <v>10</v>
      </c>
      <c r="K100" s="3009" t="s">
        <v>3368</v>
      </c>
      <c r="L100" s="3008">
        <v>19317443.600000001</v>
      </c>
      <c r="M100" s="3007" t="s">
        <v>3361</v>
      </c>
      <c r="N100" s="3000"/>
    </row>
    <row r="101" spans="1:35" ht="18.75" customHeight="1">
      <c r="A101" s="3205" t="s">
        <v>2296</v>
      </c>
      <c r="B101" s="3206"/>
      <c r="C101" s="736" t="str">
        <f>C4</f>
        <v>成本法</v>
      </c>
      <c r="D101" s="737" t="str">
        <f>D4</f>
        <v>假设开发法</v>
      </c>
      <c r="E101" s="3219" t="s">
        <v>2297</v>
      </c>
      <c r="F101" s="3173"/>
      <c r="G101" s="2519" t="s">
        <v>2298</v>
      </c>
      <c r="H101" s="1048">
        <f ca="1">H118</f>
        <v>58072</v>
      </c>
      <c r="I101" s="138"/>
      <c r="J101" s="3002">
        <v>11</v>
      </c>
      <c r="K101" s="3009" t="s">
        <v>3369</v>
      </c>
      <c r="L101" s="3012">
        <v>85635168.5</v>
      </c>
      <c r="M101" s="3007" t="s">
        <v>3361</v>
      </c>
      <c r="N101" s="3000"/>
    </row>
    <row r="102" spans="1:35" ht="18.75" customHeight="1">
      <c r="A102" s="3175" t="s">
        <v>2299</v>
      </c>
      <c r="B102" s="2519" t="s">
        <v>2298</v>
      </c>
      <c r="C102" s="736">
        <f ca="1">C19</f>
        <v>55550</v>
      </c>
      <c r="D102" s="737">
        <f ca="1">D19</f>
        <v>60593</v>
      </c>
      <c r="E102" s="3219"/>
      <c r="F102" s="3173"/>
      <c r="G102" s="2519" t="s">
        <v>2300</v>
      </c>
      <c r="H102" s="371">
        <f ca="1">I118</f>
        <v>12938</v>
      </c>
      <c r="I102" s="138"/>
      <c r="J102" s="3013"/>
      <c r="K102" s="3003" t="s">
        <v>3370</v>
      </c>
      <c r="L102" s="3012">
        <f>SUM(L91:L101)</f>
        <v>3023155400</v>
      </c>
      <c r="M102" s="3014"/>
      <c r="N102" s="3000"/>
    </row>
    <row r="103" spans="1:35" ht="42.75" customHeight="1">
      <c r="A103" s="3175"/>
      <c r="B103" s="2519" t="s">
        <v>2300</v>
      </c>
      <c r="C103" s="738">
        <f ca="1">C20</f>
        <v>12376</v>
      </c>
      <c r="D103" s="739">
        <f ca="1">D20</f>
        <v>13499</v>
      </c>
      <c r="E103" s="3214" t="s">
        <v>2301</v>
      </c>
      <c r="F103" s="3215"/>
      <c r="G103" s="2520" t="s">
        <v>2302</v>
      </c>
      <c r="H103" s="1048">
        <f>IF(D36="正常操作",H104+H105+H106,H105+H106)</f>
        <v>3803</v>
      </c>
      <c r="I103" s="138"/>
    </row>
    <row r="104" spans="1:35" ht="18.75" customHeight="1">
      <c r="A104" s="3175" t="s">
        <v>2303</v>
      </c>
      <c r="B104" s="2521" t="s">
        <v>2298</v>
      </c>
      <c r="C104" s="740">
        <f ca="1">H118</f>
        <v>58072</v>
      </c>
      <c r="D104" s="741"/>
      <c r="E104" s="2265" t="s">
        <v>2304</v>
      </c>
      <c r="F104" s="2256"/>
      <c r="G104" s="2520" t="s">
        <v>2302</v>
      </c>
      <c r="H104" s="1049" t="str">
        <f>IF(D36="同一抵押权人同一抵押物续贷",C36&amp;"（未扣减，详见特别提示）",C36)</f>
        <v>（未扣减，详见特别提示）</v>
      </c>
      <c r="I104" s="138"/>
    </row>
    <row r="105" spans="1:35" ht="18.75" customHeight="1" thickBot="1">
      <c r="A105" s="3176"/>
      <c r="B105" s="2522" t="s">
        <v>2300</v>
      </c>
      <c r="C105" s="742">
        <f ca="1">I118</f>
        <v>12938</v>
      </c>
      <c r="D105" s="743"/>
      <c r="E105" s="2265" t="s">
        <v>2305</v>
      </c>
      <c r="F105" s="2256"/>
      <c r="G105" s="2520" t="s">
        <v>2302</v>
      </c>
      <c r="H105" s="1049">
        <f>C37</f>
        <v>1758</v>
      </c>
      <c r="I105" s="138"/>
    </row>
    <row r="106" spans="1:35" ht="18.75" customHeight="1">
      <c r="A106" s="2417" t="s">
        <v>2306</v>
      </c>
      <c r="B106" s="2417"/>
      <c r="C106" s="2417"/>
      <c r="D106" s="2417"/>
      <c r="E106" s="2523" t="s">
        <v>2307</v>
      </c>
      <c r="F106" s="2256"/>
      <c r="G106" s="2520" t="s">
        <v>2302</v>
      </c>
      <c r="H106" s="1049">
        <f>C38</f>
        <v>2045</v>
      </c>
      <c r="I106" s="138"/>
    </row>
    <row r="107" spans="1:35" ht="18.75" hidden="1" customHeight="1">
      <c r="A107" s="138"/>
      <c r="B107" s="138"/>
      <c r="C107" s="138"/>
      <c r="D107" s="138"/>
      <c r="E107" s="3172" t="str">
        <f>IF(项目基本情况!E8="已注销","——","3.房地产抵押价值")</f>
        <v>——</v>
      </c>
      <c r="F107" s="3173"/>
      <c r="G107" s="2519" t="s">
        <v>2298</v>
      </c>
      <c r="H107" s="1048" t="str">
        <f>IF(E107="——","——",H101-H103)</f>
        <v>——</v>
      </c>
      <c r="I107" s="138"/>
    </row>
    <row r="108" spans="1:35" ht="18.75" hidden="1" customHeight="1">
      <c r="A108" s="138"/>
      <c r="B108" s="138"/>
      <c r="C108" s="138"/>
      <c r="D108" s="138"/>
      <c r="E108" s="3172"/>
      <c r="F108" s="3173"/>
      <c r="G108" s="2519" t="s">
        <v>2300</v>
      </c>
      <c r="H108" s="371" t="e">
        <f>ROUND(H107*10000/'数据-汇总表'!E3,0)</f>
        <v>#VALUE!</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3.抵押担保权已注销时的房地产抵押价值</v>
      </c>
      <c r="F109" s="3173"/>
      <c r="G109" s="2519" t="s">
        <v>2298</v>
      </c>
      <c r="H109" s="348">
        <f ca="1">IF(E109="——","——",H101-H105-H106)</f>
        <v>54269</v>
      </c>
      <c r="I109" s="138"/>
    </row>
    <row r="110" spans="1:35" ht="18.75" customHeight="1" thickBot="1">
      <c r="A110" s="138"/>
      <c r="B110" s="138"/>
      <c r="C110" s="138"/>
      <c r="D110" s="138"/>
      <c r="E110" s="3172"/>
      <c r="F110" s="3173"/>
      <c r="G110" s="2519" t="s">
        <v>2300</v>
      </c>
      <c r="H110" s="371">
        <f ca="1">IF(H109="——","——",ROUND(H109*10000/'数据-汇总表'!E3,0))</f>
        <v>12090</v>
      </c>
      <c r="I110" s="138"/>
    </row>
    <row r="111" spans="1:35" ht="18.75" hidden="1" customHeight="1">
      <c r="A111" s="138"/>
      <c r="B111" s="138"/>
      <c r="C111" s="138"/>
      <c r="D111" s="138"/>
      <c r="E111" s="3207" t="str">
        <f>IF(项目基本情况!E9="抵押净值",IF(OR(项目基本情况!E8="已注销",项目基本情况!E8="房地产抵押价值"),"4.抵押净值","5.抵押净值"),"——")</f>
        <v>——</v>
      </c>
      <c r="F111" s="3208"/>
      <c r="G111" s="2519" t="s">
        <v>2298</v>
      </c>
      <c r="H111" s="1048" t="str">
        <f>IF(E111="——","——",N59)</f>
        <v>——</v>
      </c>
      <c r="I111" s="138"/>
    </row>
    <row r="112" spans="1:35" ht="18.75" hidden="1" customHeight="1" thickBot="1">
      <c r="A112" s="138"/>
      <c r="B112" s="138"/>
      <c r="C112" s="138"/>
      <c r="D112" s="138"/>
      <c r="E112" s="3209"/>
      <c r="F112" s="3210"/>
      <c r="G112" s="2524" t="s">
        <v>2300</v>
      </c>
      <c r="H112" s="790"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068" t="s">
        <v>2309</v>
      </c>
      <c r="B116" s="3178" t="s">
        <v>3374</v>
      </c>
      <c r="C116" s="3178" t="s">
        <v>3373</v>
      </c>
      <c r="D116" s="3194" t="s">
        <v>2310</v>
      </c>
      <c r="E116" s="3195"/>
      <c r="F116" s="3186" t="s">
        <v>2311</v>
      </c>
      <c r="G116" s="3186"/>
      <c r="H116" s="3068" t="s">
        <v>2312</v>
      </c>
      <c r="I116" s="3068"/>
    </row>
    <row r="117" spans="1:11" ht="18.75" customHeight="1">
      <c r="A117" s="3068"/>
      <c r="B117" s="3179"/>
      <c r="C117" s="3179"/>
      <c r="D117" s="1798" t="s">
        <v>2313</v>
      </c>
      <c r="E117" s="1798" t="s">
        <v>2314</v>
      </c>
      <c r="F117" s="1798" t="s">
        <v>2313</v>
      </c>
      <c r="G117" s="1798" t="s">
        <v>2315</v>
      </c>
      <c r="H117" s="1798" t="s">
        <v>2313</v>
      </c>
      <c r="I117" s="1798" t="s">
        <v>2315</v>
      </c>
    </row>
    <row r="118" spans="1:11" ht="24.75" customHeight="1">
      <c r="A118" s="2525" t="str">
        <f>项目基本情况!S2</f>
        <v>河南省郑州市金水区红旗路北、经七路东出让国有建设用地使用权及在建建筑物房地产</v>
      </c>
      <c r="B118" s="1798">
        <f>M18</f>
        <v>44886.34</v>
      </c>
      <c r="C118" s="1798">
        <f>M19</f>
        <v>7681.84</v>
      </c>
      <c r="D118" s="1798">
        <f ca="1">ROUND(IF(D32="总价",C34,E118*B118/10000),0)</f>
        <v>43670</v>
      </c>
      <c r="E118" s="1798">
        <f ca="1">ROUND(IF(C33="自定义",IF(D32="楼面单价",C34,D118*10000/B118),I118-G118),0)</f>
        <v>9729</v>
      </c>
      <c r="F118" s="1798">
        <f ca="1">ROUND(IF(D32="总价",C35,G118*B118/10000),0)</f>
        <v>14402</v>
      </c>
      <c r="G118" s="1798">
        <f ca="1">ROUND(IF(D32="楼面单价",C35,F118*10000/B118),0)</f>
        <v>3209</v>
      </c>
      <c r="H118" s="1798">
        <f ca="1">ROUND(IF(D32="总价",C32,I118*B118/10000),0)</f>
        <v>58072</v>
      </c>
      <c r="I118" s="1798">
        <f ca="1">ROUND(IF(D32="楼面单价",C32,H118*10000/B118),0)</f>
        <v>12938</v>
      </c>
    </row>
    <row r="119" spans="1:11" ht="18.75" customHeight="1">
      <c r="A119" s="3068" t="s">
        <v>2316</v>
      </c>
      <c r="B119" s="3068"/>
      <c r="C119" s="3068"/>
      <c r="D119" s="3183" t="str">
        <f ca="1">NUMBERSTRING(INT(D118*10000),2)&amp;"元整"</f>
        <v>肆亿叁仟陆佰柒拾万元整</v>
      </c>
      <c r="E119" s="3185"/>
      <c r="F119" s="3183" t="str">
        <f ca="1">NUMBERSTRING(INT(F118*10000),2)&amp;"元整"</f>
        <v>壹亿肆仟肆佰零贰万元整</v>
      </c>
      <c r="G119" s="3185"/>
      <c r="H119" s="3183" t="str">
        <f ca="1">NUMBERSTRING(INT(H118*10000),2)&amp;"元整"</f>
        <v>伍亿捌仟零柒拾贰万元整</v>
      </c>
      <c r="I119" s="3185"/>
    </row>
    <row r="120" spans="1:11" ht="18.75" customHeight="1">
      <c r="A120" s="3211" t="str">
        <f>IF(项目基本情况!B9="房地产市场价值","",MID(E103,3,LEN(E103)-2))</f>
        <v>估价师知悉的法定优先受偿款</v>
      </c>
      <c r="B120" s="3212"/>
      <c r="C120" s="3213"/>
      <c r="D120" s="3211">
        <f>H103</f>
        <v>3803</v>
      </c>
      <c r="E120" s="3212"/>
      <c r="F120" s="3212"/>
      <c r="G120" s="3212"/>
      <c r="H120" s="3212"/>
      <c r="I120" s="3213"/>
      <c r="K120" s="2422" t="str">
        <f>IF(D120=0,"故，本次评估不存在"&amp;A120,"故，本次评估"&amp;A120&amp;"为人民币"&amp;D120&amp;"万元整。")</f>
        <v>故，本次评估估价师知悉的法定优先受偿款为人民币3803万元整。</v>
      </c>
    </row>
    <row r="121" spans="1:11" ht="18.75" customHeight="1">
      <c r="A121" s="3187" t="s">
        <v>2316</v>
      </c>
      <c r="B121" s="3188"/>
      <c r="C121" s="3189"/>
      <c r="D121" s="3183" t="str">
        <f>IF(D120=0,"零元整",NUMBERSTRING(INT(D120*10000),2)&amp;"元整")</f>
        <v>叁仟捌佰零叁万元整</v>
      </c>
      <c r="E121" s="3184"/>
      <c r="F121" s="3184"/>
      <c r="G121" s="3184"/>
      <c r="H121" s="3184"/>
      <c r="I121" s="3185"/>
    </row>
    <row r="122" spans="1:11" ht="18.75" hidden="1" customHeight="1">
      <c r="A122" s="3174" t="str">
        <f>IF(项目基本情况!B9="房地产市场价值","",MID(E107,3,LEN(E107)-2))</f>
        <v/>
      </c>
      <c r="B122" s="3174"/>
      <c r="C122" s="3174"/>
      <c r="D122" s="3211" t="str">
        <f>H107</f>
        <v>——</v>
      </c>
      <c r="E122" s="3212"/>
      <c r="F122" s="3212"/>
      <c r="G122" s="3212"/>
      <c r="H122" s="3212"/>
      <c r="I122" s="3213"/>
    </row>
    <row r="123" spans="1:11" ht="18.75" hidden="1" customHeight="1">
      <c r="A123" s="3068" t="s">
        <v>2316</v>
      </c>
      <c r="B123" s="3068"/>
      <c r="C123" s="3068"/>
      <c r="D123" s="3183" t="e">
        <f>NUMBERSTRING(INT(D122*10000),2)&amp;"元整"</f>
        <v>#VALUE!</v>
      </c>
      <c r="E123" s="3184"/>
      <c r="F123" s="3184"/>
      <c r="G123" s="3184"/>
      <c r="H123" s="3184"/>
      <c r="I123" s="3185"/>
    </row>
    <row r="124" spans="1:11" ht="18.75" customHeight="1">
      <c r="A124" s="3174" t="str">
        <f>IF(项目基本情况!B9="房地产市场价值","",MID(E109,3,LEN(E109)-2))</f>
        <v>抵押担保权已注销时的房地产抵押价值</v>
      </c>
      <c r="B124" s="3174"/>
      <c r="C124" s="3174"/>
      <c r="D124" s="3211">
        <f ca="1">H109</f>
        <v>54269</v>
      </c>
      <c r="E124" s="3212"/>
      <c r="F124" s="3212"/>
      <c r="G124" s="3212"/>
      <c r="H124" s="3212"/>
      <c r="I124" s="3213"/>
    </row>
    <row r="125" spans="1:11" ht="18.75" customHeight="1">
      <c r="A125" s="3068" t="s">
        <v>2316</v>
      </c>
      <c r="B125" s="3068"/>
      <c r="C125" s="3068"/>
      <c r="D125" s="3183" t="str">
        <f ca="1">NUMBERSTRING(INT(D124*10000),2)&amp;"元整"</f>
        <v>伍亿肆仟贰佰陆拾玖万元整</v>
      </c>
      <c r="E125" s="3184"/>
      <c r="F125" s="3184"/>
      <c r="G125" s="3184"/>
      <c r="H125" s="3184"/>
      <c r="I125" s="3185"/>
    </row>
    <row r="126" spans="1:11" ht="18.75" hidden="1" customHeight="1">
      <c r="A126" s="3174" t="str">
        <f>IF(项目基本情况!B9="房地产市场价值","",MID(E111,3,LEN(E111)-2))</f>
        <v/>
      </c>
      <c r="B126" s="3174"/>
      <c r="C126" s="3174"/>
      <c r="D126" s="3211" t="str">
        <f>H111</f>
        <v>——</v>
      </c>
      <c r="E126" s="3212"/>
      <c r="F126" s="3212"/>
      <c r="G126" s="3212"/>
      <c r="H126" s="3212"/>
      <c r="I126" s="3213"/>
    </row>
    <row r="127" spans="1:11" ht="18.75" hidden="1" customHeight="1">
      <c r="A127" s="3068" t="s">
        <v>2316</v>
      </c>
      <c r="B127" s="3068"/>
      <c r="C127" s="3068"/>
      <c r="D127" s="3183" t="e">
        <f>NUMBERSTRING(INT(D126*10000),2)&amp;"元整"</f>
        <v>#VALUE!</v>
      </c>
      <c r="E127" s="3184"/>
      <c r="F127" s="3184"/>
      <c r="G127" s="3184"/>
      <c r="H127" s="3184"/>
      <c r="I127" s="3185"/>
    </row>
    <row r="128" spans="1:11" ht="21.75" customHeight="1">
      <c r="A128" s="3193" t="s">
        <v>2317</v>
      </c>
      <c r="B128" s="3193"/>
      <c r="C128" s="3193"/>
      <c r="D128" s="3193"/>
      <c r="E128" s="3193"/>
      <c r="F128" s="3193"/>
      <c r="G128" s="3193"/>
      <c r="H128" s="3193"/>
      <c r="I128" s="319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J75:M75"/>
    <mergeCell ref="J81:K81"/>
    <mergeCell ref="K88:N88"/>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1" sqref="G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7</v>
      </c>
    </row>
    <row r="2" spans="1:9" s="244" customFormat="1" ht="18" customHeight="1">
      <c r="A2" s="245" t="s">
        <v>2326</v>
      </c>
      <c r="B2" s="246">
        <f ca="1">IF(D2="——",C52,C52-E2)</f>
        <v>55550</v>
      </c>
      <c r="C2" s="243" t="s">
        <v>2327</v>
      </c>
      <c r="D2" s="2548" t="s">
        <v>70</v>
      </c>
      <c r="E2" s="1443"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12376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31218</v>
      </c>
      <c r="D5" s="255" t="s">
        <v>2333</v>
      </c>
      <c r="E5" s="256" t="s">
        <v>2334</v>
      </c>
      <c r="F5" s="256" t="s">
        <v>2335</v>
      </c>
      <c r="G5" s="257"/>
    </row>
    <row r="6" spans="1:9" s="258" customFormat="1" ht="13.5" customHeight="1">
      <c r="A6" s="952" t="s">
        <v>2336</v>
      </c>
      <c r="B6" s="259" t="s">
        <v>2337</v>
      </c>
      <c r="C6" s="260">
        <f>'土地比较法-住宅、综合'!B2</f>
        <v>29270</v>
      </c>
      <c r="D6" s="261"/>
      <c r="E6" s="262"/>
      <c r="F6" s="262"/>
      <c r="G6" s="263"/>
    </row>
    <row r="7" spans="1:9" s="258" customFormat="1" ht="13.5" customHeight="1">
      <c r="A7" s="952" t="s">
        <v>2338</v>
      </c>
      <c r="B7" s="259" t="s">
        <v>2339</v>
      </c>
      <c r="C7" s="264">
        <f>ROUND(C6*F7,0)</f>
        <v>1185</v>
      </c>
      <c r="D7" s="264"/>
      <c r="E7" s="262"/>
      <c r="F7" s="265">
        <f>'数据-取费表'!B48+'数据-取费表'!B49</f>
        <v>4.0500000000000001E-2</v>
      </c>
      <c r="G7" s="263"/>
    </row>
    <row r="8" spans="1:9" s="267" customFormat="1">
      <c r="A8" s="952" t="s">
        <v>2340</v>
      </c>
      <c r="B8" s="259" t="s">
        <v>2341</v>
      </c>
      <c r="C8" s="264">
        <f>IF(G8="已包含在土地购买价格中","0",IF(B1="",'数据-取费表'!B29,IF(G9="全部缴纳",C9+C10,H9)))</f>
        <v>763</v>
      </c>
      <c r="D8" s="266"/>
      <c r="E8" s="264"/>
      <c r="F8" s="265"/>
      <c r="G8" s="2551" t="s">
        <v>3332</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170</v>
      </c>
      <c r="F9" s="265"/>
      <c r="G9" s="2552" t="s">
        <v>3333</v>
      </c>
      <c r="H9" s="1393"/>
      <c r="I9" s="2553" t="s">
        <v>2343</v>
      </c>
    </row>
    <row r="10" spans="1:9" s="258" customFormat="1" ht="13.5" customHeight="1">
      <c r="A10" s="953" t="s">
        <v>801</v>
      </c>
      <c r="B10" s="268" t="s">
        <v>2344</v>
      </c>
      <c r="C10" s="269">
        <f ca="1">ROUND(D10*E10/10000,0)</f>
        <v>763</v>
      </c>
      <c r="D10" s="1035">
        <f ca="1">IF(B1="",'数据-汇总表'!E6,IF(INDIRECT("'数据-取费表'!c"&amp;$G$1)="住宅",INDIRECT("'数据-取费表'!s"&amp;$G$1),INDIRECT("'数据-取费表'!k"&amp;$G$1)+INDIRECT("'数据-取费表'!s"&amp;$G$1)))</f>
        <v>44886.34</v>
      </c>
      <c r="E10" s="269">
        <f>'数据-取费表'!B28</f>
        <v>170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44886.34</v>
      </c>
      <c r="E19" s="255">
        <f>'数据-取费表'!B31</f>
        <v>200</v>
      </c>
      <c r="F19" s="275"/>
      <c r="G19" s="2551" t="s">
        <v>3334</v>
      </c>
    </row>
    <row r="20" spans="1:7" s="258" customFormat="1" ht="13.5" customHeight="1">
      <c r="A20" s="299" t="s">
        <v>2357</v>
      </c>
      <c r="B20" s="254" t="s">
        <v>2358</v>
      </c>
      <c r="C20" s="276">
        <f>ROUND((C5+C19)*F20,0)</f>
        <v>468</v>
      </c>
      <c r="D20" s="276"/>
      <c r="E20" s="276"/>
      <c r="F20" s="277">
        <f>'数据-取费表'!B37</f>
        <v>1.4999999999999999E-2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3058</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3036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22</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3802</v>
      </c>
      <c r="D27" s="279">
        <f ca="1">C29</f>
        <v>2.3999999999999998E-3</v>
      </c>
      <c r="E27" s="280" t="s">
        <v>2378</v>
      </c>
      <c r="F27" s="290">
        <f ca="1">IF(B1="",'数据-取费表'!Q16,INDIRECT("'数据-取费表'!q"&amp;$G$1))</f>
        <v>0.15</v>
      </c>
      <c r="G27" s="291" t="s">
        <v>2379</v>
      </c>
    </row>
    <row r="28" spans="1:7" s="258" customFormat="1" ht="13.5" customHeight="1">
      <c r="A28" s="954" t="s">
        <v>791</v>
      </c>
      <c r="B28" s="292" t="s">
        <v>2380</v>
      </c>
      <c r="C28" s="293">
        <f ca="1">ROUND((C5+C19+C20)*F27*'数据-取费表'!B21/'数据-取费表'!B20,0)</f>
        <v>3802</v>
      </c>
      <c r="D28" s="279"/>
      <c r="E28" s="280"/>
      <c r="F28" s="290"/>
      <c r="G28" s="291"/>
    </row>
    <row r="29" spans="1:7" s="258" customFormat="1" ht="13.5" customHeight="1">
      <c r="A29" s="954" t="s">
        <v>792</v>
      </c>
      <c r="B29" s="292" t="s">
        <v>2381</v>
      </c>
      <c r="C29" s="282">
        <f ca="1">ROUND(C21*F27*'数据-取费表'!B21/'数据-取费表'!B20,4)</f>
        <v>2.3999999999999998E-3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41748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10478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9426</v>
      </c>
      <c r="D34" s="261"/>
      <c r="E34" s="264"/>
      <c r="F34" s="301">
        <f ca="1">IF('数据-取费表'!B24=0,1,IF(B1="",'数据-取费表'!N16,INDIRECT("'数据-取费表'!n"&amp;$G$1)))</f>
        <v>0.7</v>
      </c>
      <c r="G34" s="263" t="s">
        <v>2390</v>
      </c>
    </row>
    <row r="35" spans="1:7" ht="13.5" customHeight="1">
      <c r="A35" s="954" t="s">
        <v>796</v>
      </c>
      <c r="B35" s="259" t="s">
        <v>2391</v>
      </c>
      <c r="C35" s="264">
        <f ca="1">ROUND(C34*F35,0)</f>
        <v>283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628</v>
      </c>
      <c r="D37" s="261">
        <f ca="1">D19</f>
        <v>44886.34</v>
      </c>
      <c r="E37" s="293">
        <f>'数据-取费表'!B35</f>
        <v>200</v>
      </c>
      <c r="F37" s="303"/>
      <c r="G37" s="305" t="s">
        <v>2396</v>
      </c>
    </row>
    <row r="38" spans="1:7" ht="13.5" customHeight="1">
      <c r="A38" s="954" t="s">
        <v>799</v>
      </c>
      <c r="B38" s="259" t="s">
        <v>2397</v>
      </c>
      <c r="C38" s="264">
        <f ca="1">ROUND(C34*F38,0)</f>
        <v>141</v>
      </c>
      <c r="D38" s="264"/>
      <c r="E38" s="264"/>
      <c r="F38" s="303">
        <f>'数据-取费表'!B36</f>
        <v>1.4999999999999999E-2</v>
      </c>
      <c r="G38" s="263" t="s">
        <v>2392</v>
      </c>
    </row>
    <row r="39" spans="1:7" s="258" customFormat="1" ht="13.5" customHeight="1">
      <c r="A39" s="299" t="s">
        <v>2398</v>
      </c>
      <c r="B39" s="254" t="s">
        <v>2399</v>
      </c>
      <c r="C39" s="276">
        <f ca="1">ROUND(C33*F20,0)</f>
        <v>157</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505</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498</v>
      </c>
      <c r="D42" s="282"/>
      <c r="E42" s="282"/>
      <c r="F42" s="283"/>
      <c r="G42" s="3228" t="s">
        <v>2408</v>
      </c>
    </row>
    <row r="43" spans="1:7" ht="13.5" customHeight="1">
      <c r="A43" s="954" t="s">
        <v>792</v>
      </c>
      <c r="B43" s="259" t="s">
        <v>2409</v>
      </c>
      <c r="C43" s="282">
        <f ca="1">ROUND(IF('数据-取费表'!B22&lt;=1,C39*F22*'数据-取费表'!B21/2,C39*(POWER((1+F22),'数据-取费表'!B21/2)-1)),0)</f>
        <v>7</v>
      </c>
      <c r="D43" s="282"/>
      <c r="E43" s="282"/>
      <c r="F43" s="283"/>
      <c r="G43" s="3229"/>
    </row>
    <row r="44" spans="1:7" ht="13.5" customHeight="1">
      <c r="A44" s="954" t="s">
        <v>793</v>
      </c>
      <c r="B44" s="259" t="s">
        <v>2410</v>
      </c>
      <c r="C44" s="282">
        <f ca="1">ROUND(IF('数据-取费表'!B22&lt;=1,C40*F22*'数据-取费表'!B21/2,C40*(POWER((1+F22),'数据-取费表'!B21/2)-1)),4)</f>
        <v>1E-3</v>
      </c>
      <c r="D44" s="282"/>
      <c r="E44" s="282"/>
      <c r="F44" s="283"/>
      <c r="G44" s="3230"/>
    </row>
    <row r="45" spans="1:7" s="258" customFormat="1" ht="13.5" customHeight="1">
      <c r="A45" s="299" t="s">
        <v>2411</v>
      </c>
      <c r="B45" s="288" t="s">
        <v>2377</v>
      </c>
      <c r="C45" s="289">
        <f ca="1">C46</f>
        <v>1595</v>
      </c>
      <c r="D45" s="279">
        <f ca="1">C47</f>
        <v>3.0000000000000001E-3</v>
      </c>
      <c r="E45" s="280" t="s">
        <v>2403</v>
      </c>
      <c r="F45" s="290"/>
      <c r="G45" s="291" t="s">
        <v>2412</v>
      </c>
    </row>
    <row r="46" spans="1:7" s="258" customFormat="1" ht="13.5" customHeight="1">
      <c r="A46" s="954" t="s">
        <v>791</v>
      </c>
      <c r="B46" s="292" t="s">
        <v>2413</v>
      </c>
      <c r="C46" s="293">
        <f ca="1">ROUND((C33+C39)*F27,0)</f>
        <v>1595</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13802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13802</v>
      </c>
      <c r="D51" s="276"/>
      <c r="E51" s="276"/>
      <c r="F51" s="308"/>
      <c r="G51" s="278" t="s">
        <v>2424</v>
      </c>
    </row>
    <row r="52" spans="1:7" s="252" customFormat="1" ht="16.5" thickBot="1">
      <c r="A52" s="309" t="s">
        <v>2425</v>
      </c>
      <c r="B52" s="310"/>
      <c r="C52" s="311">
        <f ca="1">C31+C51</f>
        <v>55550</v>
      </c>
      <c r="D52" s="310"/>
      <c r="E52" s="310"/>
      <c r="F52" s="310"/>
      <c r="G52" s="312"/>
    </row>
    <row r="55" spans="1:7" ht="15">
      <c r="B55" s="314" t="s">
        <v>2426</v>
      </c>
      <c r="C55" s="315"/>
    </row>
    <row r="56" spans="1:7">
      <c r="B56" s="317" t="s">
        <v>1513</v>
      </c>
      <c r="C56" s="319">
        <f ca="1">1-C57</f>
        <v>0.752</v>
      </c>
    </row>
    <row r="57" spans="1:7">
      <c r="B57" s="317" t="s">
        <v>1514</v>
      </c>
      <c r="C57" s="318">
        <f ca="1">ROUND(C51/C52,3)</f>
        <v>0.248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7" workbookViewId="0">
      <selection activeCell="G36" sqref="G3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4"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22249</v>
      </c>
      <c r="C2" s="243" t="s">
        <v>2327</v>
      </c>
      <c r="D2" s="2548" t="s">
        <v>70</v>
      </c>
      <c r="E2" s="1443"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4957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7630678</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4.0500000000000001E-2</v>
      </c>
      <c r="G7" s="263"/>
    </row>
    <row r="8" spans="1:8" s="267" customFormat="1">
      <c r="A8" s="952" t="s">
        <v>2340</v>
      </c>
      <c r="B8" s="259" t="s">
        <v>2341</v>
      </c>
      <c r="C8" s="264">
        <f ca="1">IF(G8="已包含在土地购买价格中",0,C9+C10)</f>
        <v>7630678</v>
      </c>
      <c r="D8" s="266"/>
      <c r="E8" s="264"/>
      <c r="F8" s="265"/>
      <c r="G8" s="2551"/>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170</v>
      </c>
      <c r="F9" s="265"/>
      <c r="G9" s="270"/>
    </row>
    <row r="10" spans="1:8" s="258" customFormat="1" ht="13.5" customHeight="1">
      <c r="A10" s="953" t="s">
        <v>801</v>
      </c>
      <c r="B10" s="268" t="s">
        <v>2344</v>
      </c>
      <c r="C10" s="269">
        <f ca="1">ROUND(D10*E10,0)</f>
        <v>7630678</v>
      </c>
      <c r="D10" s="1035">
        <f ca="1">IF(B1="",'数据-汇总表'!E6,IF(INDIRECT("'数据-取费表'!c"&amp;$G$1)="住宅",INDIRECT("'数据-取费表'!s"&amp;$G$1),INDIRECT("'数据-取费表'!k"&amp;$G$1)+INDIRECT("'数据-取费表'!s"&amp;$G$1)))</f>
        <v>44886.34</v>
      </c>
      <c r="E10" s="269">
        <f>'数据-取费表'!B28</f>
        <v>170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8977268</v>
      </c>
      <c r="D19" s="1039">
        <f ca="1">D9+D10</f>
        <v>44886.34</v>
      </c>
      <c r="E19" s="255">
        <f>'数据-取费表'!B31</f>
        <v>200</v>
      </c>
      <c r="F19" s="275"/>
      <c r="G19" s="2551"/>
    </row>
    <row r="20" spans="1:7" s="258" customFormat="1" ht="13.5" customHeight="1">
      <c r="A20" s="299" t="s">
        <v>2438</v>
      </c>
      <c r="B20" s="254" t="s">
        <v>2439</v>
      </c>
      <c r="C20" s="276">
        <f ca="1">ROUND((C5+C19)*F20,0)</f>
        <v>249119</v>
      </c>
      <c r="D20" s="276"/>
      <c r="E20" s="276"/>
      <c r="F20" s="277">
        <f>'数据-取费表'!B37</f>
        <v>1.4999999999999999E-2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2057884</v>
      </c>
      <c r="D22" s="279">
        <f ca="1">C26</f>
        <v>1.1999999999999999E-3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938678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1104328</v>
      </c>
      <c r="D24" s="282"/>
      <c r="E24" s="282"/>
      <c r="F24" s="283"/>
      <c r="G24" s="284" t="s">
        <v>2450</v>
      </c>
    </row>
    <row r="25" spans="1:7" s="258" customFormat="1" ht="24">
      <c r="A25" s="954" t="s">
        <v>2340</v>
      </c>
      <c r="B25" s="259" t="s">
        <v>2451</v>
      </c>
      <c r="C25" s="1384">
        <f ca="1">ROUND(IF('数据-取费表'!B22&lt;=1,C20*F22*'数据-取费表'!B22/2,C20*(POWER((1+F22),'数据-取费表'!B22/2)-1)),0)</f>
        <v>14878</v>
      </c>
      <c r="D25" s="282"/>
      <c r="E25" s="285"/>
      <c r="F25" s="283"/>
      <c r="G25" s="286" t="s">
        <v>2452</v>
      </c>
    </row>
    <row r="26" spans="1:7" s="258" customFormat="1">
      <c r="A26" s="954" t="s">
        <v>795</v>
      </c>
      <c r="B26" s="259" t="s">
        <v>2375</v>
      </c>
      <c r="C26" s="282">
        <f ca="1">ROUND(IF('数据-取费表'!B22&lt;=1,F21*F22*'数据-取费表'!B22/2,F21*(POWER((1+F22),'数据-取费表'!B22/2)-1)),4)</f>
        <v>1.1999999999999999E-3</v>
      </c>
      <c r="D26" s="282"/>
      <c r="E26" s="285"/>
      <c r="F26" s="283"/>
      <c r="G26" s="287"/>
    </row>
    <row r="27" spans="1:7" s="258" customFormat="1" ht="24.75">
      <c r="A27" s="299" t="s">
        <v>2376</v>
      </c>
      <c r="B27" s="288" t="s">
        <v>2377</v>
      </c>
      <c r="C27" s="289">
        <f ca="1">C28</f>
        <v>2528560</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ROUND((C5+C19+C20)*F27,0)</f>
        <v>2528560</v>
      </c>
      <c r="D28" s="279"/>
      <c r="E28" s="280"/>
      <c r="F28" s="290"/>
      <c r="G28" s="291"/>
    </row>
    <row r="29" spans="1:7" s="258" customFormat="1" ht="13.5" customHeight="1">
      <c r="A29" s="954"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23244996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149695944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134659020</v>
      </c>
      <c r="D34" s="261"/>
      <c r="E34" s="264"/>
      <c r="F34" s="301"/>
      <c r="G34" s="263"/>
    </row>
    <row r="35" spans="1:7" ht="13.5" customHeight="1">
      <c r="A35" s="954" t="s">
        <v>796</v>
      </c>
      <c r="B35" s="259" t="s">
        <v>2391</v>
      </c>
      <c r="C35" s="264">
        <f ca="1">ROUND(C34*F35,0)</f>
        <v>4039771</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8977268</v>
      </c>
      <c r="D37" s="261">
        <f ca="1">D19</f>
        <v>44886.34</v>
      </c>
      <c r="E37" s="293">
        <f>'数据-取费表'!B35</f>
        <v>200</v>
      </c>
      <c r="F37" s="303"/>
      <c r="G37" s="305"/>
    </row>
    <row r="38" spans="1:7" ht="13.5" customHeight="1">
      <c r="A38" s="954" t="s">
        <v>799</v>
      </c>
      <c r="B38" s="259" t="s">
        <v>2397</v>
      </c>
      <c r="C38" s="264">
        <f ca="1">ROUND(C34*F38,0)</f>
        <v>2019885</v>
      </c>
      <c r="D38" s="264"/>
      <c r="E38" s="264"/>
      <c r="F38" s="303">
        <f>'数据-取费表'!B36</f>
        <v>1.4999999999999999E-2</v>
      </c>
      <c r="G38" s="263" t="s">
        <v>2392</v>
      </c>
    </row>
    <row r="39" spans="1:7" s="258" customFormat="1" ht="13.5" customHeight="1">
      <c r="A39" s="299" t="s">
        <v>2398</v>
      </c>
      <c r="B39" s="254" t="s">
        <v>2399</v>
      </c>
      <c r="C39" s="276">
        <f ca="1">ROUND(C33*F20,0)</f>
        <v>2245439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9074461</v>
      </c>
      <c r="D41" s="279">
        <f ca="1">C44</f>
        <v>1.1999999999999999E-3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8940356</v>
      </c>
      <c r="D42" s="282"/>
      <c r="E42" s="282"/>
      <c r="F42" s="283"/>
      <c r="G42" s="3228" t="s">
        <v>2455</v>
      </c>
    </row>
    <row r="43" spans="1:7" ht="13.5" customHeight="1">
      <c r="A43" s="954" t="s">
        <v>792</v>
      </c>
      <c r="B43" s="259" t="s">
        <v>2409</v>
      </c>
      <c r="C43" s="282">
        <f ca="1">ROUND(IF('数据-取费表'!B22&lt;=1,C39*F22*'数据-取费表'!B20/2,C39*(POWER((1+F22),'数据-取费表'!B20/2)-1)),0)</f>
        <v>134105</v>
      </c>
      <c r="D43" s="282"/>
      <c r="E43" s="282"/>
      <c r="F43" s="283"/>
      <c r="G43" s="3229"/>
    </row>
    <row r="44" spans="1:7" ht="13.5" customHeight="1">
      <c r="A44" s="954" t="s">
        <v>793</v>
      </c>
      <c r="B44" s="259" t="s">
        <v>2410</v>
      </c>
      <c r="C44" s="282">
        <f ca="1">ROUND(IF('数据-取费表'!B22&lt;=1,C40*F22*'数据-取费表'!B20/2,C40*(POWER((1+F22),'数据-取费表'!B20/2)-1)),4)</f>
        <v>1.1999999999999999E-3</v>
      </c>
      <c r="D44" s="282"/>
      <c r="E44" s="282"/>
      <c r="F44" s="283"/>
      <c r="G44" s="3230"/>
    </row>
    <row r="45" spans="1:7" s="258" customFormat="1" ht="13.5" customHeight="1">
      <c r="A45" s="299" t="s">
        <v>2411</v>
      </c>
      <c r="B45" s="288" t="s">
        <v>2377</v>
      </c>
      <c r="C45" s="289">
        <f ca="1">C46</f>
        <v>22791207</v>
      </c>
      <c r="D45" s="279">
        <f ca="1">C47</f>
        <v>3.0000000000000001E-3</v>
      </c>
      <c r="E45" s="280" t="s">
        <v>2403</v>
      </c>
      <c r="F45" s="290"/>
      <c r="G45" s="291" t="s">
        <v>2412</v>
      </c>
    </row>
    <row r="46" spans="1:7" s="258" customFormat="1" ht="13.5" customHeight="1">
      <c r="A46" s="954" t="s">
        <v>791</v>
      </c>
      <c r="B46" s="292" t="s">
        <v>2413</v>
      </c>
      <c r="C46" s="293">
        <f ca="1">ROUND((C33+C39)*F27,0)</f>
        <v>22791207</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199248836</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199248836</v>
      </c>
      <c r="D51" s="276"/>
      <c r="E51" s="276"/>
      <c r="F51" s="308"/>
      <c r="G51" s="278" t="s">
        <v>2424</v>
      </c>
    </row>
    <row r="52" spans="1:7" s="252" customFormat="1" ht="16.5" thickBot="1">
      <c r="A52" s="309" t="s">
        <v>2425</v>
      </c>
      <c r="B52" s="310"/>
      <c r="C52" s="311">
        <f ca="1">C31+C51</f>
        <v>222493832</v>
      </c>
      <c r="D52" s="310"/>
      <c r="E52" s="310"/>
      <c r="F52" s="310"/>
      <c r="G52" s="312"/>
    </row>
    <row r="55" spans="1:7" ht="15">
      <c r="B55" s="314" t="s">
        <v>2426</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9" zoomScale="80" zoomScaleNormal="80" workbookViewId="0">
      <selection activeCell="F56" sqref="F5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29270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6521</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235" t="s">
        <v>2642</v>
      </c>
      <c r="D4" s="3248"/>
      <c r="E4" s="3249" t="s">
        <v>2643</v>
      </c>
      <c r="F4" s="3250"/>
      <c r="G4" s="3235" t="s">
        <v>2644</v>
      </c>
      <c r="H4" s="3248"/>
      <c r="I4" s="3235" t="s">
        <v>2645</v>
      </c>
      <c r="J4" s="3248"/>
      <c r="K4" s="610" t="s">
        <v>2646</v>
      </c>
      <c r="L4" s="1133"/>
      <c r="M4" s="1134"/>
      <c r="N4" s="1134"/>
      <c r="O4" s="1134"/>
      <c r="P4" s="3251" t="s">
        <v>2647</v>
      </c>
      <c r="Q4" s="3252"/>
      <c r="R4" s="3257" t="s">
        <v>2643</v>
      </c>
      <c r="S4" s="3258"/>
      <c r="T4" s="3257" t="s">
        <v>2644</v>
      </c>
      <c r="U4" s="3258"/>
      <c r="V4" s="3244" t="s">
        <v>2645</v>
      </c>
      <c r="W4" s="3244"/>
      <c r="X4" s="1816"/>
      <c r="Y4" s="3257" t="s">
        <v>2647</v>
      </c>
      <c r="Z4" s="3258"/>
      <c r="AA4" s="3245" t="s">
        <v>2643</v>
      </c>
      <c r="AB4" s="3246" t="s">
        <v>2644</v>
      </c>
      <c r="AC4" s="3245" t="s">
        <v>2645</v>
      </c>
    </row>
    <row r="5" spans="1:30" ht="15">
      <c r="A5" s="404"/>
      <c r="B5" s="405"/>
      <c r="C5" s="3270" t="s">
        <v>2538</v>
      </c>
      <c r="D5" s="3266"/>
      <c r="E5" s="3265" t="s">
        <v>3305</v>
      </c>
      <c r="F5" s="3266"/>
      <c r="G5" s="3265" t="s">
        <v>3306</v>
      </c>
      <c r="H5" s="3266"/>
      <c r="I5" s="3265" t="s">
        <v>3307</v>
      </c>
      <c r="J5" s="3266"/>
      <c r="K5" s="610"/>
      <c r="L5" s="1133"/>
      <c r="M5" s="1134"/>
      <c r="N5" s="1134"/>
      <c r="O5" s="1134"/>
      <c r="P5" s="3253"/>
      <c r="Q5" s="3254"/>
      <c r="R5" s="3259"/>
      <c r="S5" s="3260"/>
      <c r="T5" s="3259"/>
      <c r="U5" s="3260"/>
      <c r="V5" s="3244"/>
      <c r="W5" s="3244"/>
      <c r="X5" s="1816"/>
      <c r="Y5" s="3259"/>
      <c r="Z5" s="3260"/>
      <c r="AA5" s="3246"/>
      <c r="AB5" s="3246"/>
      <c r="AC5" s="3246"/>
    </row>
    <row r="6" spans="1:30" ht="15.75" thickBot="1">
      <c r="A6" s="406"/>
      <c r="B6" s="407"/>
      <c r="C6" s="3271" t="str">
        <f>项目基本情况!F10</f>
        <v>金水区红旗路北、经七路东</v>
      </c>
      <c r="D6" s="3264"/>
      <c r="E6" s="3272" t="s">
        <v>3310</v>
      </c>
      <c r="F6" s="3273"/>
      <c r="G6" s="3263" t="s">
        <v>3308</v>
      </c>
      <c r="H6" s="3264"/>
      <c r="I6" s="3263" t="s">
        <v>3309</v>
      </c>
      <c r="J6" s="3264"/>
      <c r="K6" s="610" t="s">
        <v>2543</v>
      </c>
      <c r="L6" s="1133"/>
      <c r="M6" s="1134"/>
      <c r="N6" s="1134"/>
      <c r="O6" s="1134"/>
      <c r="P6" s="3255"/>
      <c r="Q6" s="3256"/>
      <c r="R6" s="3259"/>
      <c r="S6" s="3260"/>
      <c r="T6" s="3261"/>
      <c r="U6" s="3262"/>
      <c r="V6" s="3244"/>
      <c r="W6" s="3244"/>
      <c r="X6" s="1816"/>
      <c r="Y6" s="3261"/>
      <c r="Z6" s="3262"/>
      <c r="AA6" s="3247"/>
      <c r="AB6" s="3247"/>
      <c r="AC6" s="3247"/>
    </row>
    <row r="7" spans="1:30" s="117" customFormat="1" ht="15.75" thickBot="1">
      <c r="A7" s="408" t="s">
        <v>2544</v>
      </c>
      <c r="B7" s="409"/>
      <c r="C7" s="410">
        <f>'数据-取费表'!B2</f>
        <v>43248</v>
      </c>
      <c r="D7" s="411">
        <v>100</v>
      </c>
      <c r="E7" s="412">
        <v>42839</v>
      </c>
      <c r="F7" s="413">
        <f>SUMIF(70:70,YEAR(E7)&amp;"-"&amp;INT((MONTH(E7)+2)/3),71:71)</f>
        <v>96</v>
      </c>
      <c r="G7" s="2697">
        <v>42781</v>
      </c>
      <c r="H7" s="411">
        <f>SUMIF(70:70,YEAR(G7)&amp;"-"&amp;INT((MONTH(G7)+2)/3),71:71)</f>
        <v>95</v>
      </c>
      <c r="I7" s="2697">
        <v>42484</v>
      </c>
      <c r="J7" s="411">
        <f>SUMIF(70:70,YEAR(I7)&amp;"-"&amp;INT((MONTH(I7)+2)/3),71:71)</f>
        <v>92</v>
      </c>
      <c r="K7" s="611"/>
      <c r="L7" s="1135"/>
      <c r="M7" s="1136"/>
      <c r="N7" s="1136"/>
      <c r="O7" s="1136"/>
      <c r="P7" s="3267" t="s">
        <v>2545</v>
      </c>
      <c r="Q7" s="3269"/>
      <c r="R7" s="770" t="s">
        <v>17</v>
      </c>
      <c r="S7" s="771">
        <f t="shared" ref="S7:S15" si="0">F7</f>
        <v>96</v>
      </c>
      <c r="T7" s="770" t="s">
        <v>17</v>
      </c>
      <c r="U7" s="771">
        <f t="shared" ref="U7:U15" si="1">H7</f>
        <v>95</v>
      </c>
      <c r="V7" s="770" t="s">
        <v>17</v>
      </c>
      <c r="W7" s="771">
        <f t="shared" ref="W7:W15" si="2">J7</f>
        <v>92</v>
      </c>
      <c r="X7" s="772"/>
      <c r="Y7" s="3267" t="s">
        <v>2545</v>
      </c>
      <c r="Z7" s="3268"/>
      <c r="AA7" s="773">
        <f>D7/F7</f>
        <v>1.0416666666666667</v>
      </c>
      <c r="AB7" s="773">
        <f>D7/H7</f>
        <v>1.0526315789473684</v>
      </c>
      <c r="AC7" s="773">
        <f>D7/J7</f>
        <v>1.0869565217391304</v>
      </c>
    </row>
    <row r="8" spans="1:30" s="117" customFormat="1" ht="15.75" thickBot="1">
      <c r="A8" s="408" t="s">
        <v>2546</v>
      </c>
      <c r="B8" s="409"/>
      <c r="C8" s="414" t="s">
        <v>2547</v>
      </c>
      <c r="D8" s="411">
        <v>100</v>
      </c>
      <c r="E8" s="414" t="s">
        <v>3263</v>
      </c>
      <c r="F8" s="413">
        <f>SUMIF(73:73,E8,74:74)-SUMIF(73:73,C8,74:74)+100</f>
        <v>100</v>
      </c>
      <c r="G8" s="414" t="s">
        <v>3263</v>
      </c>
      <c r="H8" s="411">
        <f>SUMIF(73:73,G8,74:74)-SUMIF(73:73,C8,74:74)+100</f>
        <v>100</v>
      </c>
      <c r="I8" s="414" t="s">
        <v>3263</v>
      </c>
      <c r="J8" s="411">
        <f>SUMIF(73:73,I8,74:74)-SUMIF(73:73,C8,74:74)+100</f>
        <v>100</v>
      </c>
      <c r="K8" s="611"/>
      <c r="L8" s="1135"/>
      <c r="M8" s="1136"/>
      <c r="N8" s="1136"/>
      <c r="O8" s="1136"/>
      <c r="P8" s="3267" t="s">
        <v>2548</v>
      </c>
      <c r="Q8" s="3268"/>
      <c r="R8" s="770" t="s">
        <v>17</v>
      </c>
      <c r="S8" s="771">
        <f t="shared" si="0"/>
        <v>100</v>
      </c>
      <c r="T8" s="770" t="s">
        <v>17</v>
      </c>
      <c r="U8" s="771">
        <f t="shared" si="1"/>
        <v>100</v>
      </c>
      <c r="V8" s="770" t="s">
        <v>17</v>
      </c>
      <c r="W8" s="771">
        <f t="shared" si="2"/>
        <v>100</v>
      </c>
      <c r="X8" s="772"/>
      <c r="Y8" s="3267" t="s">
        <v>2548</v>
      </c>
      <c r="Z8" s="3268"/>
      <c r="AA8" s="773">
        <f t="shared" ref="AA8:AA45" si="3">D8/F8</f>
        <v>1</v>
      </c>
      <c r="AB8" s="773">
        <f t="shared" ref="AB8:AB45" si="4">D8/H8</f>
        <v>1</v>
      </c>
      <c r="AC8" s="773">
        <f t="shared" ref="AC8:AC45" si="5">D8/J8</f>
        <v>1</v>
      </c>
    </row>
    <row r="9" spans="1:30" s="117" customFormat="1">
      <c r="A9" s="415" t="s">
        <v>2549</v>
      </c>
      <c r="B9" s="71" t="s">
        <v>2550</v>
      </c>
      <c r="C9" s="2700" t="s">
        <v>1377</v>
      </c>
      <c r="D9" s="135">
        <v>100</v>
      </c>
      <c r="E9" s="2700" t="s">
        <v>1377</v>
      </c>
      <c r="F9" s="135">
        <f>SUMIF(75:75,E9,76:76)-SUMIF(75:75,C9,76:76)+100</f>
        <v>100</v>
      </c>
      <c r="G9" s="2700" t="s">
        <v>1377</v>
      </c>
      <c r="H9" s="135">
        <f>SUMIF(75:75,G9,76:76)-SUMIF(75:75,C9,76:76)+100</f>
        <v>100</v>
      </c>
      <c r="I9" s="2700" t="s">
        <v>1377</v>
      </c>
      <c r="J9" s="135">
        <f>SUMIF(75:75,I9,76:76)-SUMIF(75:75,C9,76:76)+100</f>
        <v>100</v>
      </c>
      <c r="K9" s="611"/>
      <c r="L9" s="1135"/>
      <c r="M9" s="1136"/>
      <c r="N9" s="1136"/>
      <c r="O9" s="1137"/>
      <c r="P9" s="3238" t="s">
        <v>2551</v>
      </c>
      <c r="Q9" s="1798" t="str">
        <f t="shared" ref="Q9:Q15" si="6">B9</f>
        <v>用途</v>
      </c>
      <c r="R9" s="770" t="s">
        <v>17</v>
      </c>
      <c r="S9" s="771">
        <f t="shared" si="0"/>
        <v>100</v>
      </c>
      <c r="T9" s="770" t="s">
        <v>17</v>
      </c>
      <c r="U9" s="771">
        <f t="shared" si="1"/>
        <v>100</v>
      </c>
      <c r="V9" s="770" t="s">
        <v>17</v>
      </c>
      <c r="W9" s="771">
        <f t="shared" si="2"/>
        <v>100</v>
      </c>
      <c r="X9" s="772"/>
      <c r="Y9" s="3068" t="s">
        <v>2552</v>
      </c>
      <c r="Z9" s="55" t="str">
        <f t="shared" ref="Z9:Z15" si="7">Q9</f>
        <v>用途</v>
      </c>
      <c r="AA9" s="773">
        <f t="shared" si="3"/>
        <v>1</v>
      </c>
      <c r="AB9" s="773">
        <f t="shared" si="4"/>
        <v>1</v>
      </c>
      <c r="AC9" s="773">
        <f t="shared" si="5"/>
        <v>1</v>
      </c>
    </row>
    <row r="10" spans="1:30" s="427" customFormat="1" ht="27">
      <c r="A10" s="421"/>
      <c r="B10" s="422" t="s">
        <v>2553</v>
      </c>
      <c r="C10" s="432">
        <f>项目基本情况!F16</f>
        <v>38.06</v>
      </c>
      <c r="D10" s="136">
        <v>100</v>
      </c>
      <c r="E10" s="465" t="s">
        <v>3296</v>
      </c>
      <c r="F10" s="136">
        <f>ROUND(100/'数据-取费表'!G16,0)</f>
        <v>102</v>
      </c>
      <c r="G10" s="463" t="s">
        <v>3296</v>
      </c>
      <c r="H10" s="136">
        <f>ROUND(100/'数据-取费表'!G16,0)</f>
        <v>102</v>
      </c>
      <c r="I10" s="463" t="s">
        <v>3296</v>
      </c>
      <c r="J10" s="136">
        <f>ROUND(100/'数据-取费表'!G16,0)</f>
        <v>102</v>
      </c>
      <c r="K10" s="672"/>
      <c r="L10" s="1138"/>
      <c r="M10" s="1139"/>
      <c r="N10" s="1139"/>
      <c r="O10" s="1140"/>
      <c r="P10" s="3238"/>
      <c r="Q10" s="1798" t="str">
        <f t="shared" si="6"/>
        <v>土地使用年限（年）</v>
      </c>
      <c r="R10" s="770" t="s">
        <v>17</v>
      </c>
      <c r="S10" s="771">
        <f t="shared" si="0"/>
        <v>102</v>
      </c>
      <c r="T10" s="770" t="s">
        <v>17</v>
      </c>
      <c r="U10" s="771">
        <f t="shared" si="1"/>
        <v>102</v>
      </c>
      <c r="V10" s="770" t="s">
        <v>17</v>
      </c>
      <c r="W10" s="771">
        <f t="shared" si="2"/>
        <v>102</v>
      </c>
      <c r="X10" s="772"/>
      <c r="Y10" s="3068"/>
      <c r="Z10" s="55" t="str">
        <f t="shared" si="7"/>
        <v>土地使用年限（年）</v>
      </c>
      <c r="AA10" s="773">
        <f t="shared" si="3"/>
        <v>0.98039215686274506</v>
      </c>
      <c r="AB10" s="773">
        <f t="shared" si="4"/>
        <v>0.98039215686274506</v>
      </c>
      <c r="AC10" s="773">
        <f t="shared" si="5"/>
        <v>0.98039215686274506</v>
      </c>
    </row>
    <row r="11" spans="1:30" ht="15">
      <c r="A11" s="428"/>
      <c r="B11" s="422" t="s">
        <v>2554</v>
      </c>
      <c r="C11" s="429">
        <f>'数据-汇总表'!I6</f>
        <v>5.84</v>
      </c>
      <c r="D11" s="136">
        <v>100</v>
      </c>
      <c r="E11" s="429">
        <v>2.5</v>
      </c>
      <c r="F11" s="136">
        <f>LOOKUP(E11,80:80,81:81)-LOOKUP(C11,80:80,81:81)+100</f>
        <v>115</v>
      </c>
      <c r="G11" s="430">
        <v>4</v>
      </c>
      <c r="H11" s="136">
        <f>LOOKUP(G11,80:80,81:81)-LOOKUP(C11,80:80,81:81)+100</f>
        <v>105</v>
      </c>
      <c r="I11" s="429">
        <v>3.7</v>
      </c>
      <c r="J11" s="136">
        <f>LOOKUP(I11,80:80,81:81)-LOOKUP(C11,80:80,81:81)+100</f>
        <v>110</v>
      </c>
      <c r="K11" s="673">
        <v>5</v>
      </c>
      <c r="L11" s="1141"/>
      <c r="M11" s="1134"/>
      <c r="N11" s="1134"/>
      <c r="O11" s="1142"/>
      <c r="P11" s="3238"/>
      <c r="Q11" s="1798" t="str">
        <f t="shared" si="6"/>
        <v>容积率</v>
      </c>
      <c r="R11" s="770" t="s">
        <v>17</v>
      </c>
      <c r="S11" s="771">
        <f t="shared" si="0"/>
        <v>115</v>
      </c>
      <c r="T11" s="770" t="s">
        <v>17</v>
      </c>
      <c r="U11" s="771">
        <f t="shared" si="1"/>
        <v>105</v>
      </c>
      <c r="V11" s="770" t="s">
        <v>17</v>
      </c>
      <c r="W11" s="771">
        <f t="shared" si="2"/>
        <v>110</v>
      </c>
      <c r="X11" s="772"/>
      <c r="Y11" s="3068"/>
      <c r="Z11" s="55" t="str">
        <f t="shared" si="7"/>
        <v>容积率</v>
      </c>
      <c r="AA11" s="773">
        <f t="shared" si="3"/>
        <v>0.86956521739130432</v>
      </c>
      <c r="AB11" s="773">
        <f t="shared" si="4"/>
        <v>0.95238095238095233</v>
      </c>
      <c r="AC11" s="773">
        <f t="shared" si="5"/>
        <v>0.90909090909090906</v>
      </c>
    </row>
    <row r="12" spans="1:30" s="117" customFormat="1" ht="15.75" thickBot="1">
      <c r="A12" s="431"/>
      <c r="B12" s="3021" t="s">
        <v>2743</v>
      </c>
      <c r="C12" s="2981" t="s">
        <v>3313</v>
      </c>
      <c r="D12" s="433">
        <v>100</v>
      </c>
      <c r="E12" s="2983" t="s">
        <v>3312</v>
      </c>
      <c r="F12" s="136">
        <f>SUMIF(82:82,E12,83:83)-SUMIF(82:82,C12,83:83)+100</f>
        <v>120</v>
      </c>
      <c r="G12" s="2983" t="s">
        <v>3312</v>
      </c>
      <c r="H12" s="136">
        <f>SUMIF(82:82,G12,83:83)-SUMIF(82:82,C12,83:83)+100</f>
        <v>120</v>
      </c>
      <c r="I12" s="2983" t="s">
        <v>3312</v>
      </c>
      <c r="J12" s="136">
        <f>SUMIF(82:82,I12,83:83)-SUMIF(82:82,C12,83:83)+100</f>
        <v>120</v>
      </c>
      <c r="K12" s="672"/>
      <c r="L12" s="1135"/>
      <c r="M12" s="1136"/>
      <c r="N12" s="1136"/>
      <c r="O12" s="1137"/>
      <c r="P12" s="3238"/>
      <c r="Q12" s="1798" t="str">
        <f t="shared" si="6"/>
        <v>配建</v>
      </c>
      <c r="R12" s="770" t="s">
        <v>17</v>
      </c>
      <c r="S12" s="771">
        <f t="shared" si="0"/>
        <v>120</v>
      </c>
      <c r="T12" s="770" t="s">
        <v>17</v>
      </c>
      <c r="U12" s="771">
        <f t="shared" si="1"/>
        <v>120</v>
      </c>
      <c r="V12" s="770" t="s">
        <v>17</v>
      </c>
      <c r="W12" s="771">
        <f t="shared" si="2"/>
        <v>120</v>
      </c>
      <c r="X12" s="772"/>
      <c r="Y12" s="3068"/>
      <c r="Z12" s="55" t="str">
        <f t="shared" si="7"/>
        <v>配建</v>
      </c>
      <c r="AA12" s="773">
        <f>D12/F12</f>
        <v>0.83333333333333337</v>
      </c>
      <c r="AB12" s="773">
        <f>D12/H12</f>
        <v>0.83333333333333337</v>
      </c>
      <c r="AC12" s="773">
        <f>D12/J12</f>
        <v>0.83333333333333337</v>
      </c>
    </row>
    <row r="13" spans="1:30" ht="15" hidden="1">
      <c r="A13" s="428"/>
      <c r="B13" s="2601"/>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8"/>
      <c r="Q13" s="1798">
        <f t="shared" si="6"/>
        <v>0</v>
      </c>
      <c r="R13" s="770" t="s">
        <v>17</v>
      </c>
      <c r="S13" s="771">
        <f t="shared" si="0"/>
        <v>100</v>
      </c>
      <c r="T13" s="770" t="s">
        <v>17</v>
      </c>
      <c r="U13" s="771">
        <f t="shared" si="1"/>
        <v>100</v>
      </c>
      <c r="V13" s="770" t="s">
        <v>17</v>
      </c>
      <c r="W13" s="771">
        <f t="shared" si="2"/>
        <v>100</v>
      </c>
      <c r="X13" s="772"/>
      <c r="Y13" s="3068"/>
      <c r="Z13" s="55">
        <f t="shared" si="7"/>
        <v>0</v>
      </c>
      <c r="AA13" s="773">
        <f>D13/F13</f>
        <v>1</v>
      </c>
      <c r="AB13" s="773">
        <f>D13/H13</f>
        <v>1</v>
      </c>
      <c r="AC13" s="773">
        <f>D13/J13</f>
        <v>1</v>
      </c>
    </row>
    <row r="14" spans="1:30" ht="15.75" hidden="1"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8"/>
      <c r="Q14" s="1798">
        <f t="shared" si="6"/>
        <v>0</v>
      </c>
      <c r="R14" s="770" t="s">
        <v>17</v>
      </c>
      <c r="S14" s="771">
        <f t="shared" si="0"/>
        <v>100</v>
      </c>
      <c r="T14" s="770" t="s">
        <v>17</v>
      </c>
      <c r="U14" s="771">
        <f t="shared" si="1"/>
        <v>100</v>
      </c>
      <c r="V14" s="770" t="s">
        <v>17</v>
      </c>
      <c r="W14" s="771">
        <f t="shared" si="2"/>
        <v>100</v>
      </c>
      <c r="X14" s="772"/>
      <c r="Y14" s="3068"/>
      <c r="Z14" s="55">
        <f t="shared" si="7"/>
        <v>0</v>
      </c>
      <c r="AA14" s="773">
        <f>D14/F14</f>
        <v>1</v>
      </c>
      <c r="AB14" s="773">
        <f>D14/H14</f>
        <v>1</v>
      </c>
      <c r="AC14" s="773">
        <f>D14/J14</f>
        <v>1</v>
      </c>
    </row>
    <row r="15" spans="1:30" ht="99.75">
      <c r="A15" s="440" t="s">
        <v>2555</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90</v>
      </c>
      <c r="G15" s="442"/>
      <c r="H15" s="441">
        <f>SUMIF(88:88,G16,89:89)-SUMIF(88:88,C16,89:89)+100</f>
        <v>95</v>
      </c>
      <c r="I15" s="444"/>
      <c r="J15" s="441">
        <f>SUMIF(88:88,I16,89:89)-SUMIF(88:88,C16,89:89)+100</f>
        <v>95</v>
      </c>
      <c r="K15" s="673">
        <v>5</v>
      </c>
      <c r="L15" s="1143"/>
      <c r="M15" s="1134"/>
      <c r="N15" s="1134"/>
      <c r="O15" s="1142"/>
      <c r="P15" s="3240" t="s">
        <v>2556</v>
      </c>
      <c r="Q15" s="1813" t="str">
        <f t="shared" si="6"/>
        <v>居住社区成熟度</v>
      </c>
      <c r="R15" s="774" t="s">
        <v>17</v>
      </c>
      <c r="S15" s="775">
        <f t="shared" si="0"/>
        <v>90</v>
      </c>
      <c r="T15" s="774" t="s">
        <v>17</v>
      </c>
      <c r="U15" s="775">
        <f t="shared" si="1"/>
        <v>95</v>
      </c>
      <c r="V15" s="774" t="s">
        <v>17</v>
      </c>
      <c r="W15" s="775">
        <f t="shared" si="2"/>
        <v>95</v>
      </c>
      <c r="X15" s="1816"/>
      <c r="Y15" s="3240" t="s">
        <v>2556</v>
      </c>
      <c r="Z15" s="1817" t="str">
        <f t="shared" si="7"/>
        <v>居住社区成熟度</v>
      </c>
      <c r="AA15" s="1814">
        <f t="shared" si="3"/>
        <v>1.1111111111111112</v>
      </c>
      <c r="AB15" s="1814">
        <f t="shared" si="4"/>
        <v>1.0526315789473684</v>
      </c>
      <c r="AC15" s="1814">
        <f t="shared" si="5"/>
        <v>1.0526315789473684</v>
      </c>
    </row>
    <row r="16" spans="1:30" ht="15">
      <c r="A16" s="428"/>
      <c r="B16" s="446"/>
      <c r="C16" s="2701" t="s">
        <v>3278</v>
      </c>
      <c r="D16" s="448"/>
      <c r="E16" s="2606" t="s">
        <v>3268</v>
      </c>
      <c r="F16" s="448"/>
      <c r="G16" s="2606" t="s">
        <v>3266</v>
      </c>
      <c r="H16" s="450"/>
      <c r="I16" s="2605" t="s">
        <v>3266</v>
      </c>
      <c r="J16" s="448"/>
      <c r="K16" s="672"/>
      <c r="L16" s="1143"/>
      <c r="M16" s="1134"/>
      <c r="N16" s="1134"/>
      <c r="O16" s="1142"/>
      <c r="P16" s="3241"/>
      <c r="Q16" s="1813"/>
      <c r="R16" s="774"/>
      <c r="S16" s="775"/>
      <c r="T16" s="774"/>
      <c r="U16" s="775"/>
      <c r="V16" s="774"/>
      <c r="W16" s="775"/>
      <c r="X16" s="1816"/>
      <c r="Y16" s="3241"/>
      <c r="Z16" s="1817"/>
      <c r="AA16" s="1814">
        <v>1</v>
      </c>
      <c r="AB16" s="1814">
        <v>1</v>
      </c>
      <c r="AC16" s="1814">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94</v>
      </c>
      <c r="G17" s="452"/>
      <c r="H17" s="455">
        <f>SUMIF(90:90,G18,91:91)-SUMIF(90:90,C18,91:91)+100</f>
        <v>97</v>
      </c>
      <c r="I17" s="454"/>
      <c r="J17" s="455">
        <f>SUMIF(90:90,I18,91:91)-SUMIF(90:90,C18,91:91)+100</f>
        <v>97</v>
      </c>
      <c r="K17" s="673">
        <v>3</v>
      </c>
      <c r="L17" s="1143"/>
      <c r="M17" s="1134"/>
      <c r="N17" s="1134"/>
      <c r="O17" s="1142"/>
      <c r="P17" s="3241"/>
      <c r="Q17" s="1813" t="str">
        <f>B17</f>
        <v>商业繁华度</v>
      </c>
      <c r="R17" s="774" t="s">
        <v>17</v>
      </c>
      <c r="S17" s="775">
        <f>F17</f>
        <v>94</v>
      </c>
      <c r="T17" s="774" t="s">
        <v>17</v>
      </c>
      <c r="U17" s="775">
        <f>H17</f>
        <v>97</v>
      </c>
      <c r="V17" s="774" t="s">
        <v>17</v>
      </c>
      <c r="W17" s="775">
        <f>J17</f>
        <v>97</v>
      </c>
      <c r="X17" s="1816"/>
      <c r="Y17" s="3241"/>
      <c r="Z17" s="1817" t="str">
        <f>Q17</f>
        <v>商业繁华度</v>
      </c>
      <c r="AA17" s="1814">
        <f t="shared" si="3"/>
        <v>1.0638297872340425</v>
      </c>
      <c r="AB17" s="1814">
        <f t="shared" si="4"/>
        <v>1.0309278350515463</v>
      </c>
      <c r="AC17" s="1814">
        <f t="shared" si="5"/>
        <v>1.0309278350515463</v>
      </c>
    </row>
    <row r="18" spans="1:29" ht="15">
      <c r="A18" s="428"/>
      <c r="B18" s="456"/>
      <c r="C18" s="2701" t="s">
        <v>3278</v>
      </c>
      <c r="D18" s="450"/>
      <c r="E18" s="2611" t="s">
        <v>3268</v>
      </c>
      <c r="F18" s="450"/>
      <c r="G18" s="2611" t="s">
        <v>3266</v>
      </c>
      <c r="H18" s="448"/>
      <c r="I18" s="2610" t="s">
        <v>3266</v>
      </c>
      <c r="J18" s="448"/>
      <c r="K18" s="672"/>
      <c r="L18" s="1143"/>
      <c r="M18" s="1134"/>
      <c r="N18" s="1134"/>
      <c r="O18" s="1142"/>
      <c r="P18" s="3241"/>
      <c r="Q18" s="1813"/>
      <c r="R18" s="774"/>
      <c r="S18" s="775"/>
      <c r="T18" s="774"/>
      <c r="U18" s="775"/>
      <c r="V18" s="774"/>
      <c r="W18" s="775"/>
      <c r="X18" s="1816"/>
      <c r="Y18" s="3241"/>
      <c r="Z18" s="1817"/>
      <c r="AA18" s="1814">
        <v>1</v>
      </c>
      <c r="AB18" s="1814">
        <v>1</v>
      </c>
      <c r="AC18" s="1814">
        <v>1</v>
      </c>
    </row>
    <row r="19" spans="1:29" ht="71.25" hidden="1">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1"/>
      <c r="Q19" s="1813" t="str">
        <f>B19</f>
        <v>办公集聚程度</v>
      </c>
      <c r="R19" s="774" t="s">
        <v>17</v>
      </c>
      <c r="S19" s="775">
        <f>F19</f>
        <v>100</v>
      </c>
      <c r="T19" s="774" t="s">
        <v>17</v>
      </c>
      <c r="U19" s="775">
        <f>H19</f>
        <v>100</v>
      </c>
      <c r="V19" s="774" t="s">
        <v>17</v>
      </c>
      <c r="W19" s="775">
        <f>J19</f>
        <v>100</v>
      </c>
      <c r="X19" s="1816"/>
      <c r="Y19" s="3241"/>
      <c r="Z19" s="1817" t="str">
        <f>Q19</f>
        <v>办公集聚程度</v>
      </c>
      <c r="AA19" s="1814">
        <f t="shared" si="3"/>
        <v>1</v>
      </c>
      <c r="AB19" s="1814">
        <f t="shared" si="4"/>
        <v>1</v>
      </c>
      <c r="AC19" s="1814">
        <f t="shared" si="5"/>
        <v>1</v>
      </c>
    </row>
    <row r="20" spans="1:29" ht="15" hidden="1">
      <c r="A20" s="428"/>
      <c r="B20" s="456"/>
      <c r="C20" s="2701"/>
      <c r="D20" s="448"/>
      <c r="E20" s="2606"/>
      <c r="F20" s="448"/>
      <c r="G20" s="2606"/>
      <c r="H20" s="448"/>
      <c r="I20" s="2605"/>
      <c r="J20" s="448"/>
      <c r="K20" s="672"/>
      <c r="L20" s="1143"/>
      <c r="M20" s="1134"/>
      <c r="N20" s="1134"/>
      <c r="O20" s="1142"/>
      <c r="P20" s="3241"/>
      <c r="Q20" s="1813"/>
      <c r="R20" s="774"/>
      <c r="S20" s="775"/>
      <c r="T20" s="774"/>
      <c r="U20" s="775"/>
      <c r="V20" s="774"/>
      <c r="W20" s="775"/>
      <c r="X20" s="1816"/>
      <c r="Y20" s="3241"/>
      <c r="Z20" s="1817"/>
      <c r="AA20" s="1814">
        <v>1</v>
      </c>
      <c r="AB20" s="1814">
        <v>1</v>
      </c>
      <c r="AC20" s="1814">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41"/>
      <c r="Q21" s="1813" t="str">
        <f>B21</f>
        <v>交通便捷度</v>
      </c>
      <c r="R21" s="774" t="s">
        <v>17</v>
      </c>
      <c r="S21" s="775">
        <f>F21</f>
        <v>100</v>
      </c>
      <c r="T21" s="774" t="s">
        <v>17</v>
      </c>
      <c r="U21" s="775">
        <f>H21</f>
        <v>100</v>
      </c>
      <c r="V21" s="774" t="s">
        <v>17</v>
      </c>
      <c r="W21" s="775">
        <f>J21</f>
        <v>100</v>
      </c>
      <c r="X21" s="1816"/>
      <c r="Y21" s="3241"/>
      <c r="Z21" s="1817" t="str">
        <f>Q21</f>
        <v>交通便捷度</v>
      </c>
      <c r="AA21" s="1814">
        <f t="shared" si="3"/>
        <v>1</v>
      </c>
      <c r="AB21" s="1814">
        <f t="shared" si="4"/>
        <v>1</v>
      </c>
      <c r="AC21" s="1814">
        <f t="shared" si="5"/>
        <v>1</v>
      </c>
    </row>
    <row r="22" spans="1:29" ht="15">
      <c r="A22" s="428"/>
      <c r="B22" s="1387"/>
      <c r="C22" s="2701" t="s">
        <v>3266</v>
      </c>
      <c r="D22" s="450"/>
      <c r="E22" s="2606" t="s">
        <v>3266</v>
      </c>
      <c r="F22" s="448"/>
      <c r="G22" s="2606" t="s">
        <v>3266</v>
      </c>
      <c r="H22" s="448"/>
      <c r="I22" s="2605" t="s">
        <v>3266</v>
      </c>
      <c r="J22" s="448"/>
      <c r="K22" s="672"/>
      <c r="L22" s="1143"/>
      <c r="M22" s="1134"/>
      <c r="N22" s="1134"/>
      <c r="O22" s="1142"/>
      <c r="P22" s="3241"/>
      <c r="Q22" s="1813"/>
      <c r="R22" s="774"/>
      <c r="S22" s="775"/>
      <c r="T22" s="774"/>
      <c r="U22" s="775"/>
      <c r="V22" s="774"/>
      <c r="W22" s="775"/>
      <c r="X22" s="1816"/>
      <c r="Y22" s="3241"/>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41"/>
      <c r="Q23" s="1813" t="str">
        <f t="shared" ref="Q23:Q37" si="8">B23</f>
        <v>区域土地利用方向</v>
      </c>
      <c r="R23" s="774" t="s">
        <v>17</v>
      </c>
      <c r="S23" s="775">
        <f>F23</f>
        <v>100</v>
      </c>
      <c r="T23" s="774" t="s">
        <v>17</v>
      </c>
      <c r="U23" s="775">
        <f>H23</f>
        <v>100</v>
      </c>
      <c r="V23" s="774" t="s">
        <v>17</v>
      </c>
      <c r="W23" s="775">
        <f>J23</f>
        <v>100</v>
      </c>
      <c r="X23" s="1816"/>
      <c r="Y23" s="3241"/>
      <c r="Z23" s="1817" t="str">
        <f>Q23</f>
        <v>区域土地利用方向</v>
      </c>
      <c r="AA23" s="1814">
        <f t="shared" si="3"/>
        <v>1</v>
      </c>
      <c r="AB23" s="1814">
        <f t="shared" si="4"/>
        <v>1</v>
      </c>
      <c r="AC23" s="1814">
        <f t="shared" si="5"/>
        <v>1</v>
      </c>
    </row>
    <row r="24" spans="1:29" ht="15">
      <c r="A24" s="404"/>
      <c r="B24" s="456"/>
      <c r="C24" s="2701" t="s">
        <v>3266</v>
      </c>
      <c r="D24" s="448"/>
      <c r="E24" s="2606" t="s">
        <v>3266</v>
      </c>
      <c r="F24" s="448"/>
      <c r="G24" s="2605" t="s">
        <v>3266</v>
      </c>
      <c r="H24" s="448"/>
      <c r="I24" s="2605" t="s">
        <v>3266</v>
      </c>
      <c r="J24" s="448"/>
      <c r="K24" s="812"/>
      <c r="L24" s="1143"/>
      <c r="M24" s="1134"/>
      <c r="N24" s="1134"/>
      <c r="O24" s="1142"/>
      <c r="P24" s="3241"/>
      <c r="Q24" s="1813"/>
      <c r="R24" s="774"/>
      <c r="S24" s="775"/>
      <c r="T24" s="774"/>
      <c r="U24" s="775"/>
      <c r="V24" s="774"/>
      <c r="W24" s="775"/>
      <c r="X24" s="1816"/>
      <c r="Y24" s="3241"/>
      <c r="Z24" s="1817"/>
      <c r="AA24" s="1814"/>
      <c r="AB24" s="1814"/>
      <c r="AC24" s="1814"/>
    </row>
    <row r="25" spans="1:29" ht="57">
      <c r="A25" s="404"/>
      <c r="B25" s="1387" t="s">
        <v>2745</v>
      </c>
      <c r="C25" s="2665" t="str">
        <f>估价对象房地状况!C20</f>
        <v>区域自然环境：；人文环境；综合评价环境状况一般</v>
      </c>
      <c r="D25" s="450">
        <v>100</v>
      </c>
      <c r="E25" s="452"/>
      <c r="F25" s="450">
        <f>SUMIF(98:98,E26,99:99)-SUMIF(98:98,C26,99:99)+100</f>
        <v>97</v>
      </c>
      <c r="G25" s="452"/>
      <c r="H25" s="450">
        <f>SUMIF(98:98,G26,99:99)-SUMIF(98:98,C26,99:99)+100</f>
        <v>97</v>
      </c>
      <c r="I25" s="454"/>
      <c r="J25" s="450">
        <f>SUMIF(98:98,I26,99:99)-SUMIF(98:98,C26,99:99)+100</f>
        <v>100</v>
      </c>
      <c r="K25" s="673">
        <v>3</v>
      </c>
      <c r="L25" s="1143"/>
      <c r="M25" s="1134"/>
      <c r="N25" s="1134"/>
      <c r="O25" s="1142"/>
      <c r="P25" s="3241"/>
      <c r="Q25" s="1813" t="str">
        <f t="shared" si="8"/>
        <v>自然及人文环境状况</v>
      </c>
      <c r="R25" s="774" t="s">
        <v>17</v>
      </c>
      <c r="S25" s="775">
        <f>F25</f>
        <v>97</v>
      </c>
      <c r="T25" s="774" t="s">
        <v>17</v>
      </c>
      <c r="U25" s="775">
        <f>H25</f>
        <v>97</v>
      </c>
      <c r="V25" s="774" t="s">
        <v>17</v>
      </c>
      <c r="W25" s="775">
        <f>J25</f>
        <v>100</v>
      </c>
      <c r="X25" s="1816"/>
      <c r="Y25" s="3241"/>
      <c r="Z25" s="1817" t="str">
        <f>Q25</f>
        <v>自然及人文环境状况</v>
      </c>
      <c r="AA25" s="1814">
        <f t="shared" si="3"/>
        <v>1.0309278350515463</v>
      </c>
      <c r="AB25" s="1814">
        <f t="shared" si="4"/>
        <v>1.0309278350515463</v>
      </c>
      <c r="AC25" s="1814">
        <f t="shared" si="5"/>
        <v>1</v>
      </c>
    </row>
    <row r="26" spans="1:29" ht="15">
      <c r="A26" s="404"/>
      <c r="B26" s="456"/>
      <c r="C26" s="2701" t="s">
        <v>3266</v>
      </c>
      <c r="D26" s="448"/>
      <c r="E26" s="2612" t="s">
        <v>3268</v>
      </c>
      <c r="F26" s="448"/>
      <c r="G26" s="2612" t="s">
        <v>3268</v>
      </c>
      <c r="H26" s="448"/>
      <c r="I26" s="447" t="s">
        <v>3266</v>
      </c>
      <c r="J26" s="448"/>
      <c r="K26" s="672"/>
      <c r="L26" s="1143"/>
      <c r="M26" s="1134"/>
      <c r="N26" s="1134"/>
      <c r="O26" s="1142"/>
      <c r="P26" s="3241"/>
      <c r="Q26" s="1813"/>
      <c r="R26" s="774"/>
      <c r="S26" s="775"/>
      <c r="T26" s="774"/>
      <c r="U26" s="775"/>
      <c r="V26" s="774"/>
      <c r="W26" s="775"/>
      <c r="X26" s="1816"/>
      <c r="Y26" s="3241"/>
      <c r="Z26" s="1817"/>
      <c r="AA26" s="1814">
        <v>1</v>
      </c>
      <c r="AB26" s="1814">
        <v>1</v>
      </c>
      <c r="AC26" s="1814">
        <v>1</v>
      </c>
    </row>
    <row r="27" spans="1:29" s="117" customFormat="1" ht="42.75">
      <c r="A27" s="649"/>
      <c r="B27" s="1387"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5</v>
      </c>
      <c r="L27" s="1135"/>
      <c r="M27" s="1136"/>
      <c r="N27" s="1136"/>
      <c r="O27" s="1137"/>
      <c r="P27" s="3241"/>
      <c r="Q27" s="1798" t="str">
        <f t="shared" si="8"/>
        <v>公共配套设施</v>
      </c>
      <c r="R27" s="770" t="s">
        <v>17</v>
      </c>
      <c r="S27" s="771">
        <f>F27</f>
        <v>100</v>
      </c>
      <c r="T27" s="770" t="s">
        <v>17</v>
      </c>
      <c r="U27" s="771">
        <f>H27</f>
        <v>100</v>
      </c>
      <c r="V27" s="770" t="s">
        <v>17</v>
      </c>
      <c r="W27" s="771">
        <f>J27</f>
        <v>100</v>
      </c>
      <c r="X27" s="772"/>
      <c r="Y27" s="3241"/>
      <c r="Z27" s="55" t="str">
        <f>Q27</f>
        <v>公共配套设施</v>
      </c>
      <c r="AA27" s="1814">
        <f>D27/F27</f>
        <v>1</v>
      </c>
      <c r="AB27" s="1814">
        <f>D27/H27</f>
        <v>1</v>
      </c>
      <c r="AC27" s="1814">
        <f>D27/J27</f>
        <v>1</v>
      </c>
    </row>
    <row r="28" spans="1:29" s="117" customFormat="1" ht="15">
      <c r="A28" s="649"/>
      <c r="B28" s="456"/>
      <c r="C28" s="2701" t="s">
        <v>3266</v>
      </c>
      <c r="D28" s="448"/>
      <c r="E28" s="2612" t="s">
        <v>3266</v>
      </c>
      <c r="F28" s="448"/>
      <c r="G28" s="3020" t="s">
        <v>3266</v>
      </c>
      <c r="H28" s="448"/>
      <c r="I28" s="447" t="s">
        <v>3266</v>
      </c>
      <c r="J28" s="448"/>
      <c r="K28" s="672"/>
      <c r="L28" s="1135"/>
      <c r="M28" s="1136"/>
      <c r="N28" s="1136"/>
      <c r="O28" s="1137"/>
      <c r="P28" s="3241"/>
      <c r="Q28" s="1798"/>
      <c r="R28" s="770"/>
      <c r="S28" s="771"/>
      <c r="T28" s="770"/>
      <c r="U28" s="771"/>
      <c r="V28" s="770"/>
      <c r="W28" s="771"/>
      <c r="X28" s="772"/>
      <c r="Y28" s="3241"/>
      <c r="Z28" s="55"/>
      <c r="AA28" s="1814">
        <v>1</v>
      </c>
      <c r="AB28" s="1814">
        <v>1</v>
      </c>
      <c r="AC28" s="1814">
        <v>1</v>
      </c>
    </row>
    <row r="29" spans="1:29" s="117" customFormat="1" ht="28.5">
      <c r="A29" s="649"/>
      <c r="B29" s="1387"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241"/>
      <c r="Q29" s="1798" t="str">
        <f t="shared" ref="Q29" si="9">B29</f>
        <v>基础设施水平</v>
      </c>
      <c r="R29" s="770" t="s">
        <v>17</v>
      </c>
      <c r="S29" s="771">
        <f>F29</f>
        <v>100</v>
      </c>
      <c r="T29" s="770" t="s">
        <v>17</v>
      </c>
      <c r="U29" s="771">
        <f>H29</f>
        <v>100</v>
      </c>
      <c r="V29" s="770" t="s">
        <v>17</v>
      </c>
      <c r="W29" s="771">
        <f>J29</f>
        <v>100</v>
      </c>
      <c r="X29" s="772"/>
      <c r="Y29" s="3241"/>
      <c r="Z29" s="55" t="str">
        <f>Q29</f>
        <v>基础设施水平</v>
      </c>
      <c r="AA29" s="1814">
        <f>D29/F29</f>
        <v>1</v>
      </c>
      <c r="AB29" s="1814">
        <f>D29/H29</f>
        <v>1</v>
      </c>
      <c r="AC29" s="1814">
        <f>D29/J29</f>
        <v>1</v>
      </c>
    </row>
    <row r="30" spans="1:29" s="117" customFormat="1" ht="15">
      <c r="A30" s="649"/>
      <c r="B30" s="456"/>
      <c r="C30" s="2701" t="s">
        <v>3267</v>
      </c>
      <c r="D30" s="448"/>
      <c r="E30" s="2702" t="s">
        <v>3267</v>
      </c>
      <c r="F30" s="448"/>
      <c r="G30" s="2702" t="s">
        <v>3267</v>
      </c>
      <c r="H30" s="448"/>
      <c r="I30" s="2702" t="s">
        <v>3267</v>
      </c>
      <c r="J30" s="448"/>
      <c r="K30" s="672"/>
      <c r="L30" s="1135"/>
      <c r="M30" s="1136"/>
      <c r="N30" s="1136"/>
      <c r="O30" s="1137"/>
      <c r="P30" s="3241"/>
      <c r="Q30" s="1798"/>
      <c r="R30" s="770"/>
      <c r="S30" s="771"/>
      <c r="T30" s="770"/>
      <c r="U30" s="771"/>
      <c r="V30" s="770"/>
      <c r="W30" s="771"/>
      <c r="X30" s="772"/>
      <c r="Y30" s="3241"/>
      <c r="Z30" s="55"/>
      <c r="AA30" s="1814">
        <v>1</v>
      </c>
      <c r="AB30" s="1814">
        <v>1</v>
      </c>
      <c r="AC30" s="1814">
        <v>1</v>
      </c>
    </row>
    <row r="31" spans="1:29" ht="15">
      <c r="A31" s="428"/>
      <c r="B31" s="456" t="s">
        <v>2652</v>
      </c>
      <c r="C31" s="616" t="s">
        <v>3301</v>
      </c>
      <c r="D31" s="435">
        <v>100</v>
      </c>
      <c r="E31" s="634" t="s">
        <v>3297</v>
      </c>
      <c r="F31" s="435">
        <f>SUMIF(104:104,E31,105:105)-SUMIF(104:104,C31,105:105)+100</f>
        <v>99</v>
      </c>
      <c r="G31" s="634" t="s">
        <v>3301</v>
      </c>
      <c r="H31" s="435">
        <f>SUMIF(104:104,G31,105:105)-SUMIF(104:104,C31,105:105)+100</f>
        <v>100</v>
      </c>
      <c r="I31" s="634" t="s">
        <v>3297</v>
      </c>
      <c r="J31" s="435">
        <f>SUMIF(104:104,I31,105:105)-SUMIF(104:104,C31,105:105)+100</f>
        <v>99</v>
      </c>
      <c r="K31" s="673">
        <v>1</v>
      </c>
      <c r="L31" s="1143"/>
      <c r="M31" s="1134"/>
      <c r="N31" s="1134"/>
      <c r="O31" s="1142"/>
      <c r="P31" s="3241"/>
      <c r="Q31" s="1813" t="str">
        <f t="shared" si="8"/>
        <v>临街状况</v>
      </c>
      <c r="R31" s="774" t="s">
        <v>17</v>
      </c>
      <c r="S31" s="775">
        <f t="shared" ref="S31:S45" si="10">F31</f>
        <v>99</v>
      </c>
      <c r="T31" s="774" t="s">
        <v>17</v>
      </c>
      <c r="U31" s="775">
        <f t="shared" ref="U31:U45" si="11">H31</f>
        <v>100</v>
      </c>
      <c r="V31" s="774" t="s">
        <v>17</v>
      </c>
      <c r="W31" s="775">
        <f t="shared" ref="W31:W45" si="12">J31</f>
        <v>99</v>
      </c>
      <c r="X31" s="1816"/>
      <c r="Y31" s="3241"/>
      <c r="Z31" s="1817" t="str">
        <f t="shared" ref="Z31:Z45" si="13">Q31</f>
        <v>临街状况</v>
      </c>
      <c r="AA31" s="1814">
        <f t="shared" si="3"/>
        <v>1.0101010101010102</v>
      </c>
      <c r="AB31" s="1814">
        <f t="shared" si="4"/>
        <v>1</v>
      </c>
      <c r="AC31" s="1814">
        <f t="shared" si="5"/>
        <v>1.0101010101010102</v>
      </c>
    </row>
    <row r="32" spans="1:29" ht="27">
      <c r="A32" s="428"/>
      <c r="B32" s="1387" t="s">
        <v>2687</v>
      </c>
      <c r="C32" s="454"/>
      <c r="D32" s="450">
        <v>100</v>
      </c>
      <c r="E32" s="452"/>
      <c r="F32" s="450">
        <f>SUMIF(106:106,E33,107:107)-SUMIF(106:106,C33,107:107)+100</f>
        <v>99</v>
      </c>
      <c r="G32" s="452"/>
      <c r="H32" s="450">
        <f>SUMIF(106:106,G33,107:107)-SUMIF(106:106,C33,107:107)+100</f>
        <v>100</v>
      </c>
      <c r="I32" s="454"/>
      <c r="J32" s="450">
        <f>SUMIF(106:106,I33,107:107)-SUMIF(106:106,C33,107:107)+100</f>
        <v>100</v>
      </c>
      <c r="K32" s="673">
        <v>1</v>
      </c>
      <c r="L32" s="1143"/>
      <c r="M32" s="1134"/>
      <c r="N32" s="1134"/>
      <c r="O32" s="1142"/>
      <c r="P32" s="3241"/>
      <c r="Q32" s="1813" t="str">
        <f t="shared" si="8"/>
        <v>毗邻道路的类型与等级</v>
      </c>
      <c r="R32" s="774" t="s">
        <v>17</v>
      </c>
      <c r="S32" s="775">
        <f t="shared" si="10"/>
        <v>99</v>
      </c>
      <c r="T32" s="774" t="s">
        <v>17</v>
      </c>
      <c r="U32" s="775">
        <f t="shared" si="11"/>
        <v>100</v>
      </c>
      <c r="V32" s="774" t="s">
        <v>17</v>
      </c>
      <c r="W32" s="775">
        <f t="shared" si="12"/>
        <v>100</v>
      </c>
      <c r="X32" s="1816"/>
      <c r="Y32" s="3241"/>
      <c r="Z32" s="1817" t="str">
        <f t="shared" si="13"/>
        <v>毗邻道路的类型与等级</v>
      </c>
      <c r="AA32" s="1814">
        <f t="shared" si="3"/>
        <v>1.0101010101010102</v>
      </c>
      <c r="AB32" s="1814">
        <f t="shared" si="4"/>
        <v>1</v>
      </c>
      <c r="AC32" s="1814">
        <f t="shared" si="5"/>
        <v>1</v>
      </c>
    </row>
    <row r="33" spans="1:29" ht="15.75" thickBot="1">
      <c r="A33" s="428"/>
      <c r="B33" s="456"/>
      <c r="C33" s="447" t="s">
        <v>3302</v>
      </c>
      <c r="D33" s="448"/>
      <c r="E33" s="2612" t="s">
        <v>3298</v>
      </c>
      <c r="F33" s="448"/>
      <c r="G33" s="2612" t="s">
        <v>3302</v>
      </c>
      <c r="H33" s="448"/>
      <c r="I33" s="447" t="s">
        <v>3302</v>
      </c>
      <c r="J33" s="448"/>
      <c r="K33" s="613"/>
      <c r="L33" s="1143"/>
      <c r="M33" s="1134"/>
      <c r="N33" s="1134"/>
      <c r="O33" s="1142"/>
      <c r="P33" s="3241"/>
      <c r="Q33" s="1813"/>
      <c r="R33" s="774"/>
      <c r="S33" s="775"/>
      <c r="T33" s="774"/>
      <c r="U33" s="775"/>
      <c r="V33" s="774"/>
      <c r="W33" s="775"/>
      <c r="X33" s="1816"/>
      <c r="Y33" s="3241"/>
      <c r="Z33" s="1817"/>
      <c r="AA33" s="1814">
        <v>1</v>
      </c>
      <c r="AB33" s="1814">
        <v>1</v>
      </c>
      <c r="AC33" s="1814">
        <v>1</v>
      </c>
    </row>
    <row r="34" spans="1:29" ht="15.75" hidden="1" thickBot="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1"/>
      <c r="Q34" s="1813" t="str">
        <f t="shared" si="8"/>
        <v>土地级别</v>
      </c>
      <c r="R34" s="774" t="s">
        <v>17</v>
      </c>
      <c r="S34" s="775">
        <f t="shared" si="10"/>
        <v>100</v>
      </c>
      <c r="T34" s="774" t="s">
        <v>17</v>
      </c>
      <c r="U34" s="775">
        <f t="shared" si="11"/>
        <v>100</v>
      </c>
      <c r="V34" s="774" t="s">
        <v>17</v>
      </c>
      <c r="W34" s="775">
        <f t="shared" si="12"/>
        <v>100</v>
      </c>
      <c r="X34" s="1816"/>
      <c r="Y34" s="3241"/>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1"/>
      <c r="Q35" s="1813">
        <f t="shared" si="8"/>
        <v>111</v>
      </c>
      <c r="R35" s="774" t="s">
        <v>17</v>
      </c>
      <c r="S35" s="775">
        <f t="shared" si="10"/>
        <v>100</v>
      </c>
      <c r="T35" s="774" t="s">
        <v>17</v>
      </c>
      <c r="U35" s="775">
        <f t="shared" si="11"/>
        <v>100</v>
      </c>
      <c r="V35" s="774" t="s">
        <v>17</v>
      </c>
      <c r="W35" s="775">
        <f t="shared" si="12"/>
        <v>100</v>
      </c>
      <c r="X35" s="1816"/>
      <c r="Y35" s="3241"/>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2561</v>
      </c>
      <c r="Q36" s="1813">
        <f t="shared" si="8"/>
        <v>111</v>
      </c>
      <c r="R36" s="774" t="s">
        <v>17</v>
      </c>
      <c r="S36" s="775">
        <f t="shared" si="10"/>
        <v>100</v>
      </c>
      <c r="T36" s="774" t="s">
        <v>17</v>
      </c>
      <c r="U36" s="775">
        <f t="shared" si="11"/>
        <v>100</v>
      </c>
      <c r="V36" s="774" t="s">
        <v>17</v>
      </c>
      <c r="W36" s="775">
        <f t="shared" si="12"/>
        <v>100</v>
      </c>
      <c r="X36" s="1816"/>
      <c r="Y36" s="3243" t="s">
        <v>2561</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3"/>
      <c r="Q37" s="1813">
        <f t="shared" si="8"/>
        <v>111</v>
      </c>
      <c r="R37" s="777" t="s">
        <v>17</v>
      </c>
      <c r="S37" s="778">
        <f t="shared" si="10"/>
        <v>100</v>
      </c>
      <c r="T37" s="777" t="s">
        <v>17</v>
      </c>
      <c r="U37" s="778">
        <f t="shared" si="11"/>
        <v>100</v>
      </c>
      <c r="V37" s="777" t="s">
        <v>17</v>
      </c>
      <c r="W37" s="778">
        <f t="shared" si="12"/>
        <v>100</v>
      </c>
      <c r="X37" s="779"/>
      <c r="Y37" s="3243"/>
      <c r="Z37" s="780">
        <f t="shared" si="13"/>
        <v>111</v>
      </c>
      <c r="AA37" s="1814">
        <f t="shared" si="3"/>
        <v>1</v>
      </c>
      <c r="AB37" s="1814">
        <f t="shared" si="4"/>
        <v>1</v>
      </c>
      <c r="AC37" s="1814">
        <f t="shared" si="5"/>
        <v>1</v>
      </c>
    </row>
    <row r="38" spans="1:29" ht="15">
      <c r="A38" s="472" t="s">
        <v>2559</v>
      </c>
      <c r="B38" s="456" t="s">
        <v>2747</v>
      </c>
      <c r="C38" s="679">
        <f>'数据-基础表'!A3</f>
        <v>87028.31</v>
      </c>
      <c r="D38" s="467">
        <v>100</v>
      </c>
      <c r="E38" s="679">
        <v>12855.06</v>
      </c>
      <c r="F38" s="467">
        <f>LOOKUP(E38,117:117,118:118)-LOOKUP(C38,117:117,118:118)+100</f>
        <v>96</v>
      </c>
      <c r="G38" s="679">
        <v>20274.78</v>
      </c>
      <c r="H38" s="467">
        <f>LOOKUP(G38,117:117,118:118)-LOOKUP(C38,117:117,118:118)+100</f>
        <v>97</v>
      </c>
      <c r="I38" s="530">
        <v>2596.8200000000002</v>
      </c>
      <c r="J38" s="467">
        <f>LOOKUP(I38,117:117,118:118)-LOOKUP(C38,117:117,118:118)+100</f>
        <v>96</v>
      </c>
      <c r="K38" s="613"/>
      <c r="L38" s="1143"/>
      <c r="M38" s="1134"/>
      <c r="N38" s="1134"/>
      <c r="O38" s="1142"/>
      <c r="P38" s="3243"/>
      <c r="Q38" s="1813" t="str">
        <f>B38</f>
        <v>宗地面积</v>
      </c>
      <c r="R38" s="774" t="s">
        <v>17</v>
      </c>
      <c r="S38" s="775">
        <f t="shared" si="10"/>
        <v>96</v>
      </c>
      <c r="T38" s="774" t="s">
        <v>17</v>
      </c>
      <c r="U38" s="775">
        <f t="shared" si="11"/>
        <v>97</v>
      </c>
      <c r="V38" s="774" t="s">
        <v>17</v>
      </c>
      <c r="W38" s="775">
        <f t="shared" si="12"/>
        <v>96</v>
      </c>
      <c r="X38" s="1816"/>
      <c r="Y38" s="3243"/>
      <c r="Z38" s="1817" t="str">
        <f t="shared" si="13"/>
        <v>宗地面积</v>
      </c>
      <c r="AA38" s="1814">
        <f t="shared" si="3"/>
        <v>1.0416666666666667</v>
      </c>
      <c r="AB38" s="1814">
        <f t="shared" si="4"/>
        <v>1.0309278350515463</v>
      </c>
      <c r="AC38" s="1814">
        <f t="shared" si="5"/>
        <v>1.0416666666666667</v>
      </c>
    </row>
    <row r="39" spans="1:29" ht="15">
      <c r="A39" s="472"/>
      <c r="B39" s="422" t="s">
        <v>2748</v>
      </c>
      <c r="C39" s="2614" t="s">
        <v>3299</v>
      </c>
      <c r="D39" s="435">
        <v>100</v>
      </c>
      <c r="E39" s="2614" t="s">
        <v>3299</v>
      </c>
      <c r="F39" s="435">
        <f>SUMIF(119:119,E39,120:120)-SUMIF(119:119,C39,120:120)+100</f>
        <v>100</v>
      </c>
      <c r="G39" s="2614" t="s">
        <v>3299</v>
      </c>
      <c r="H39" s="435">
        <f>SUMIF(119:119,G39,120:120)-SUMIF(119:119,C39,120:120)+100</f>
        <v>100</v>
      </c>
      <c r="I39" s="2614" t="s">
        <v>3299</v>
      </c>
      <c r="J39" s="435">
        <f>SUMIF(119:119,I39,120:120)-SUMIF(119:119,C39,120:120)+100</f>
        <v>100</v>
      </c>
      <c r="K39" s="612">
        <v>2</v>
      </c>
      <c r="L39" s="1143"/>
      <c r="M39" s="1134"/>
      <c r="N39" s="1134"/>
      <c r="O39" s="1142"/>
      <c r="P39" s="3243"/>
      <c r="Q39" s="1813" t="str">
        <f t="shared" ref="Q39:Q45" si="14">B39</f>
        <v>宗地形状</v>
      </c>
      <c r="R39" s="774" t="s">
        <v>17</v>
      </c>
      <c r="S39" s="775">
        <f t="shared" si="10"/>
        <v>100</v>
      </c>
      <c r="T39" s="774" t="s">
        <v>17</v>
      </c>
      <c r="U39" s="775">
        <f t="shared" si="11"/>
        <v>100</v>
      </c>
      <c r="V39" s="774" t="s">
        <v>17</v>
      </c>
      <c r="W39" s="775">
        <f t="shared" si="12"/>
        <v>100</v>
      </c>
      <c r="X39" s="1816"/>
      <c r="Y39" s="3243"/>
      <c r="Z39" s="1817" t="str">
        <f t="shared" si="13"/>
        <v>宗地形状</v>
      </c>
      <c r="AA39" s="1814">
        <f t="shared" si="3"/>
        <v>1</v>
      </c>
      <c r="AB39" s="1814">
        <f t="shared" si="4"/>
        <v>1</v>
      </c>
      <c r="AC39" s="1814">
        <f t="shared" si="5"/>
        <v>1</v>
      </c>
    </row>
    <row r="40" spans="1:29" ht="15">
      <c r="A40" s="472"/>
      <c r="B40" s="422" t="s">
        <v>2749</v>
      </c>
      <c r="C40" s="2614" t="s">
        <v>3325</v>
      </c>
      <c r="D40" s="435">
        <v>100</v>
      </c>
      <c r="E40" s="2614" t="s">
        <v>3325</v>
      </c>
      <c r="F40" s="435">
        <f>SUMIF(121:121,E40,122:122)-SUMIF(121:121,C40,122:122)+100</f>
        <v>100</v>
      </c>
      <c r="G40" s="2614" t="s">
        <v>3325</v>
      </c>
      <c r="H40" s="435">
        <f>SUMIF(121:121,G40,122:122)-SUMIF(121:121,C40,122:122)+100</f>
        <v>100</v>
      </c>
      <c r="I40" s="2614" t="s">
        <v>3325</v>
      </c>
      <c r="J40" s="435">
        <f>SUMIF(121:121,I40,122:122)-SUMIF(121:121,C40,122:122)+100</f>
        <v>100</v>
      </c>
      <c r="K40" s="612">
        <v>1</v>
      </c>
      <c r="L40" s="1143"/>
      <c r="M40" s="1134"/>
      <c r="N40" s="1134"/>
      <c r="O40" s="1142"/>
      <c r="P40" s="3243"/>
      <c r="Q40" s="1813" t="str">
        <f t="shared" si="14"/>
        <v>临街宽度及深度</v>
      </c>
      <c r="R40" s="774" t="s">
        <v>17</v>
      </c>
      <c r="S40" s="775">
        <f t="shared" si="10"/>
        <v>100</v>
      </c>
      <c r="T40" s="774" t="s">
        <v>17</v>
      </c>
      <c r="U40" s="775">
        <f t="shared" si="11"/>
        <v>100</v>
      </c>
      <c r="V40" s="774" t="s">
        <v>17</v>
      </c>
      <c r="W40" s="775">
        <f t="shared" si="12"/>
        <v>100</v>
      </c>
      <c r="X40" s="1816"/>
      <c r="Y40" s="3243"/>
      <c r="Z40" s="1817" t="str">
        <f t="shared" si="13"/>
        <v>临街宽度及深度</v>
      </c>
      <c r="AA40" s="1814">
        <f t="shared" si="3"/>
        <v>1</v>
      </c>
      <c r="AB40" s="1814">
        <f t="shared" si="4"/>
        <v>1</v>
      </c>
      <c r="AC40" s="1814">
        <f t="shared" si="5"/>
        <v>1</v>
      </c>
    </row>
    <row r="41" spans="1:29" s="117" customFormat="1" ht="15">
      <c r="A41" s="473"/>
      <c r="B41" s="422" t="s">
        <v>2750</v>
      </c>
      <c r="C41" s="2703" t="s">
        <v>3304</v>
      </c>
      <c r="D41" s="136">
        <v>100</v>
      </c>
      <c r="E41" s="2703" t="s">
        <v>3300</v>
      </c>
      <c r="F41" s="435">
        <f>SUMIF(123:123,E41,124:124)-SUMIF(123:123,C41,124:124)+100</f>
        <v>99</v>
      </c>
      <c r="G41" s="2703" t="s">
        <v>3303</v>
      </c>
      <c r="H41" s="435">
        <f>SUMIF(123:123,G41,124:124)-SUMIF(123:123,C41,124:124)+100</f>
        <v>98</v>
      </c>
      <c r="I41" s="2703" t="s">
        <v>3304</v>
      </c>
      <c r="J41" s="435">
        <f>SUMIF(123:123,I41,124:124)-SUMIF(123:123,C41,124:124)+100</f>
        <v>100</v>
      </c>
      <c r="K41" s="612">
        <v>1</v>
      </c>
      <c r="L41" s="1135"/>
      <c r="M41" s="1136"/>
      <c r="N41" s="1136"/>
      <c r="O41" s="1137"/>
      <c r="P41" s="3243"/>
      <c r="Q41" s="1813" t="str">
        <f t="shared" si="14"/>
        <v>宗地开发程度</v>
      </c>
      <c r="R41" s="770" t="s">
        <v>17</v>
      </c>
      <c r="S41" s="771">
        <f t="shared" si="10"/>
        <v>99</v>
      </c>
      <c r="T41" s="770" t="s">
        <v>17</v>
      </c>
      <c r="U41" s="771">
        <f t="shared" si="11"/>
        <v>98</v>
      </c>
      <c r="V41" s="770" t="s">
        <v>17</v>
      </c>
      <c r="W41" s="771">
        <f t="shared" si="12"/>
        <v>100</v>
      </c>
      <c r="X41" s="772"/>
      <c r="Y41" s="3243"/>
      <c r="Z41" s="55" t="str">
        <f t="shared" si="13"/>
        <v>宗地开发程度</v>
      </c>
      <c r="AA41" s="773">
        <f t="shared" si="3"/>
        <v>1.0101010101010102</v>
      </c>
      <c r="AB41" s="773">
        <f t="shared" si="4"/>
        <v>1.0204081632653061</v>
      </c>
      <c r="AC41" s="773">
        <f t="shared" si="5"/>
        <v>1</v>
      </c>
    </row>
    <row r="42" spans="1:29" ht="15.75" thickBot="1">
      <c r="A42" s="472"/>
      <c r="B42" s="422" t="s">
        <v>2751</v>
      </c>
      <c r="C42" s="2614" t="s">
        <v>3266</v>
      </c>
      <c r="D42" s="435">
        <v>100</v>
      </c>
      <c r="E42" s="2614" t="s">
        <v>3266</v>
      </c>
      <c r="F42" s="435">
        <f>SUMIF(125:125,E42,126:126)-SUMIF(125:125,C42,126:126)+100</f>
        <v>100</v>
      </c>
      <c r="G42" s="2614" t="s">
        <v>3266</v>
      </c>
      <c r="H42" s="435">
        <f>SUMIF(125:125,G42,126:126)-SUMIF(125:125,C42,126:126)+100</f>
        <v>100</v>
      </c>
      <c r="I42" s="2614" t="s">
        <v>3266</v>
      </c>
      <c r="J42" s="435">
        <f>SUMIF(125:125,I42,126:126)-SUMIF(125:125,C42,126:126)+100</f>
        <v>100</v>
      </c>
      <c r="K42" s="612">
        <v>2</v>
      </c>
      <c r="L42" s="1143"/>
      <c r="M42" s="1134"/>
      <c r="N42" s="1134"/>
      <c r="O42" s="1142"/>
      <c r="P42" s="3243" t="s">
        <v>2561</v>
      </c>
      <c r="Q42" s="1813" t="str">
        <f t="shared" si="14"/>
        <v>工程地质条件</v>
      </c>
      <c r="R42" s="774" t="s">
        <v>17</v>
      </c>
      <c r="S42" s="775">
        <f t="shared" si="10"/>
        <v>100</v>
      </c>
      <c r="T42" s="774" t="s">
        <v>17</v>
      </c>
      <c r="U42" s="775">
        <f t="shared" si="11"/>
        <v>100</v>
      </c>
      <c r="V42" s="774" t="s">
        <v>17</v>
      </c>
      <c r="W42" s="775">
        <f t="shared" si="12"/>
        <v>100</v>
      </c>
      <c r="X42" s="1816"/>
      <c r="Y42" s="3243" t="s">
        <v>2561</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3"/>
      <c r="Q43" s="1813">
        <f t="shared" si="14"/>
        <v>111</v>
      </c>
      <c r="R43" s="774" t="s">
        <v>17</v>
      </c>
      <c r="S43" s="775">
        <f t="shared" si="10"/>
        <v>100</v>
      </c>
      <c r="T43" s="774" t="s">
        <v>17</v>
      </c>
      <c r="U43" s="775">
        <f t="shared" si="11"/>
        <v>100</v>
      </c>
      <c r="V43" s="774" t="s">
        <v>17</v>
      </c>
      <c r="W43" s="775">
        <f t="shared" si="12"/>
        <v>100</v>
      </c>
      <c r="X43" s="1816"/>
      <c r="Y43" s="3243"/>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3"/>
      <c r="Q44" s="1813">
        <f t="shared" si="14"/>
        <v>111</v>
      </c>
      <c r="R44" s="774" t="s">
        <v>17</v>
      </c>
      <c r="S44" s="775">
        <f t="shared" si="10"/>
        <v>100</v>
      </c>
      <c r="T44" s="774" t="s">
        <v>17</v>
      </c>
      <c r="U44" s="775">
        <f t="shared" si="11"/>
        <v>100</v>
      </c>
      <c r="V44" s="774" t="s">
        <v>17</v>
      </c>
      <c r="W44" s="775">
        <f t="shared" si="12"/>
        <v>100</v>
      </c>
      <c r="X44" s="1816"/>
      <c r="Y44" s="3243"/>
      <c r="Z44" s="1817">
        <f t="shared" si="13"/>
        <v>111</v>
      </c>
      <c r="AA44" s="1814">
        <f t="shared" si="3"/>
        <v>1</v>
      </c>
      <c r="AB44" s="1814">
        <f t="shared" si="4"/>
        <v>1</v>
      </c>
      <c r="AC44" s="1814">
        <f t="shared" si="5"/>
        <v>1</v>
      </c>
    </row>
    <row r="45" spans="1:29" s="471" customFormat="1" ht="15.75" hidden="1"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3"/>
      <c r="Q45" s="1813">
        <f t="shared" si="14"/>
        <v>111</v>
      </c>
      <c r="R45" s="777" t="s">
        <v>17</v>
      </c>
      <c r="S45" s="778">
        <f t="shared" si="10"/>
        <v>100</v>
      </c>
      <c r="T45" s="777" t="s">
        <v>17</v>
      </c>
      <c r="U45" s="778">
        <f t="shared" si="11"/>
        <v>100</v>
      </c>
      <c r="V45" s="777" t="s">
        <v>17</v>
      </c>
      <c r="W45" s="778">
        <f t="shared" si="12"/>
        <v>100</v>
      </c>
      <c r="X45" s="779"/>
      <c r="Y45" s="3243"/>
      <c r="Z45" s="780">
        <f t="shared" si="13"/>
        <v>111</v>
      </c>
      <c r="AA45" s="1814">
        <f t="shared" si="3"/>
        <v>1</v>
      </c>
      <c r="AB45" s="1814">
        <f t="shared" si="4"/>
        <v>1</v>
      </c>
      <c r="AC45" s="1814">
        <f t="shared" si="5"/>
        <v>1</v>
      </c>
    </row>
    <row r="46" spans="1:29" ht="15">
      <c r="A46" s="479" t="s">
        <v>2716</v>
      </c>
      <c r="B46" s="2705" t="s">
        <v>2752</v>
      </c>
      <c r="C46" s="682" t="s">
        <v>1</v>
      </c>
      <c r="D46" s="481"/>
      <c r="E46" s="482">
        <v>6006</v>
      </c>
      <c r="F46" s="483"/>
      <c r="G46" s="484">
        <v>7162</v>
      </c>
      <c r="H46" s="485"/>
      <c r="I46" s="482">
        <v>7426</v>
      </c>
      <c r="J46" s="485"/>
      <c r="K46" s="783"/>
      <c r="L46" s="1146"/>
      <c r="M46" s="1147"/>
      <c r="N46" s="1134"/>
      <c r="O46" s="1147"/>
      <c r="P46" s="3238" t="str">
        <f>A46</f>
        <v>成交单价</v>
      </c>
      <c r="Q46" s="3238"/>
      <c r="R46" s="3244">
        <f>E46</f>
        <v>6006</v>
      </c>
      <c r="S46" s="3244"/>
      <c r="T46" s="3244">
        <f>G46</f>
        <v>7162</v>
      </c>
      <c r="U46" s="3244"/>
      <c r="V46" s="3244">
        <f>I46</f>
        <v>7426</v>
      </c>
      <c r="W46" s="3244"/>
      <c r="X46" s="759"/>
      <c r="Y46" s="781"/>
      <c r="Z46" s="759"/>
      <c r="AA46" s="759"/>
      <c r="AB46" s="759"/>
      <c r="AC46" s="759"/>
    </row>
    <row r="47" spans="1:29" ht="15.75" thickBot="1">
      <c r="A47" s="486" t="s">
        <v>2665</v>
      </c>
      <c r="B47" s="683"/>
      <c r="C47" s="490">
        <f>R48</f>
        <v>6521</v>
      </c>
      <c r="D47" s="489"/>
      <c r="E47" s="490">
        <f>R47</f>
        <v>5815</v>
      </c>
      <c r="F47" s="491"/>
      <c r="G47" s="488">
        <f>T47</f>
        <v>6904</v>
      </c>
      <c r="H47" s="489"/>
      <c r="I47" s="490">
        <f>V47</f>
        <v>6845</v>
      </c>
      <c r="J47" s="489"/>
      <c r="K47" s="784"/>
      <c r="L47" s="1146"/>
      <c r="M47" s="1147"/>
      <c r="N47" s="1147"/>
      <c r="O47" s="1147"/>
      <c r="P47" s="3238" t="str">
        <f>A47</f>
        <v>比较价值（元/平方米）</v>
      </c>
      <c r="Q47" s="3238"/>
      <c r="R47" s="3231">
        <f>ROUND(PRODUCT(R46,AA7:AA45),0)</f>
        <v>5815</v>
      </c>
      <c r="S47" s="3231"/>
      <c r="T47" s="3231">
        <f>ROUND(PRODUCT(T46,AB7:AB45),0)</f>
        <v>6904</v>
      </c>
      <c r="U47" s="3231"/>
      <c r="V47" s="3231">
        <f>ROUND(PRODUCT(V46,AC7:AC45),0)</f>
        <v>6845</v>
      </c>
      <c r="W47" s="3231"/>
      <c r="X47" s="759"/>
      <c r="Y47" s="759"/>
      <c r="Z47" s="759"/>
      <c r="AA47" s="759"/>
      <c r="AB47" s="759"/>
      <c r="AC47" s="759"/>
    </row>
    <row r="48" spans="1:29" ht="15.75" thickBot="1">
      <c r="A48" s="492" t="s">
        <v>2753</v>
      </c>
      <c r="B48" s="493"/>
      <c r="C48" s="494">
        <f>R48</f>
        <v>6521</v>
      </c>
      <c r="D48" s="494"/>
      <c r="E48" s="494"/>
      <c r="F48" s="494"/>
      <c r="G48" s="494"/>
      <c r="H48" s="494"/>
      <c r="I48" s="494"/>
      <c r="J48" s="494"/>
      <c r="K48" s="785"/>
      <c r="L48" s="1146"/>
      <c r="M48" s="1147"/>
      <c r="N48" s="1147"/>
      <c r="O48" s="1147"/>
      <c r="P48" s="3232" t="str">
        <f>A48</f>
        <v>估价对象XX用房的比较价值（楼面单价，元/平方米）</v>
      </c>
      <c r="Q48" s="3233"/>
      <c r="R48" s="3234">
        <f>ROUND(AVERAGE(R47:V47),0)</f>
        <v>6521</v>
      </c>
      <c r="S48" s="3234"/>
      <c r="T48" s="3234"/>
      <c r="U48" s="3234"/>
      <c r="V48" s="3234"/>
      <c r="W48" s="323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f>IF(E46&lt;E47,E47/E46-1,E46/E47-1)</f>
        <v>3.2846087704213156E-2</v>
      </c>
      <c r="F51" s="500" t="str">
        <f>IF(OR(E51&gt;=0.3,E51&lt;=-0.3),"超过30%","")</f>
        <v/>
      </c>
      <c r="G51" s="499">
        <f>IF(G46&lt;G47,G47/G46-1,G46/G47-1)</f>
        <v>3.736964078794891E-2</v>
      </c>
      <c r="H51" s="500" t="str">
        <f>IF(OR(G51&gt;=0.3,G51&lt;=-0.3),"超过30%","")</f>
        <v/>
      </c>
      <c r="I51" s="499">
        <f>IF(I46&lt;I47,I47/I46-1,I46/I47-1)</f>
        <v>8.4879474068663363E-2</v>
      </c>
      <c r="J51" s="500" t="str">
        <f>IF(OR(I51&gt;=0.3,I51&lt;=-0.3),"超过30%","")</f>
        <v/>
      </c>
      <c r="K51" s="1108"/>
      <c r="L51" s="1109"/>
      <c r="M51" s="1147"/>
      <c r="N51" s="1147"/>
      <c r="O51" s="1147"/>
    </row>
    <row r="52" spans="1:15" ht="13.5" customHeight="1">
      <c r="A52" s="1147"/>
      <c r="B52" s="1147"/>
      <c r="C52" s="497" t="s">
        <v>2668</v>
      </c>
      <c r="D52" s="501"/>
      <c r="E52" s="499">
        <f>IF(E47&lt;G47,G47/E47-1,E47/G47-1)</f>
        <v>0.18727429062768697</v>
      </c>
      <c r="F52" s="500" t="str">
        <f>IF(OR(E52&gt;=0.2,E52&lt;=-0.2),"超过20%","")</f>
        <v/>
      </c>
      <c r="G52" s="499">
        <f>IF(G47&lt;I47,I47/G47-1,G47/I47-1)</f>
        <v>8.6194302410518286E-3</v>
      </c>
      <c r="H52" s="500" t="str">
        <f>IF(OR(G52&gt;=0.2,G52&lt;=-0.2),"超过20%","")</f>
        <v/>
      </c>
      <c r="I52" s="499">
        <f>IF(I47&lt;E47,E47/I47-1,I47/E47-1)</f>
        <v>0.17712811693895092</v>
      </c>
      <c r="J52" s="500" t="str">
        <f>IF(OR(I52&gt;=0.2,I52&lt;=-0.2),"超过20%","")</f>
        <v/>
      </c>
      <c r="K52" s="1108"/>
      <c r="L52" s="1109"/>
      <c r="M52" s="1147"/>
      <c r="N52" s="1147"/>
      <c r="O52" s="1147"/>
    </row>
    <row r="53" spans="1:15" s="502" customFormat="1" ht="13.5" customHeight="1">
      <c r="A53" s="1148"/>
      <c r="B53" s="1148"/>
      <c r="C53" s="497" t="s">
        <v>2669</v>
      </c>
      <c r="D53" s="501"/>
      <c r="E53" s="499">
        <f>IF(E46&lt;G46,G46/E46-1,E46/G46-1)</f>
        <v>0.1924741924741924</v>
      </c>
      <c r="F53" s="500" t="str">
        <f>IF(OR(E53&gt;=0.3,E53&lt;=-0.3),"超过30%","")</f>
        <v/>
      </c>
      <c r="G53" s="499">
        <f>IF(G46&lt;I46,I46/G46-1,G46/I46-1)</f>
        <v>3.6861211951968675E-2</v>
      </c>
      <c r="H53" s="500" t="str">
        <f>IF(OR(G53&gt;=0.3,G53&lt;=-0.3),"超过30%","")</f>
        <v/>
      </c>
      <c r="I53" s="499">
        <f>IF(I46&lt;E46,E46/I46-1,I46/E46-1)</f>
        <v>0.23643023643023642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6" t="s">
        <v>2756</v>
      </c>
      <c r="D55" s="2707" t="s">
        <v>2757</v>
      </c>
      <c r="E55" s="686" t="s">
        <v>2758</v>
      </c>
      <c r="F55" s="1110" t="s">
        <v>2759</v>
      </c>
      <c r="G55" s="3235" t="s">
        <v>2760</v>
      </c>
      <c r="H55" s="3236"/>
      <c r="I55" s="144" t="s">
        <v>2761</v>
      </c>
      <c r="J55" s="2708" t="str">
        <f>项目基本情况!F35</f>
        <v>河南省郑州市</v>
      </c>
      <c r="K55" s="2709" t="s">
        <v>2762</v>
      </c>
      <c r="L55" s="1109"/>
      <c r="M55" s="1147"/>
      <c r="N55" s="1147"/>
      <c r="O55" s="1147"/>
    </row>
    <row r="56" spans="1:15" s="692" customFormat="1">
      <c r="A56" s="688" t="s">
        <v>2763</v>
      </c>
      <c r="B56" s="689">
        <f>C48</f>
        <v>6521</v>
      </c>
      <c r="C56" s="690">
        <v>1</v>
      </c>
      <c r="D56" s="1166">
        <v>1</v>
      </c>
      <c r="E56" s="690">
        <f>'数据-汇总表'!E8+'数据-汇总表'!E9</f>
        <v>44886.34</v>
      </c>
      <c r="F56" s="1106">
        <f t="shared" ref="F56:F65" si="15">ROUND(B56*E56/10000,0)</f>
        <v>29270</v>
      </c>
      <c r="G56" s="3237"/>
      <c r="H56" s="3238"/>
      <c r="I56" s="1111">
        <v>1</v>
      </c>
      <c r="J56" s="1114">
        <v>1</v>
      </c>
      <c r="K56" s="1148"/>
      <c r="L56" s="944"/>
      <c r="M56" s="944"/>
      <c r="N56" s="944"/>
      <c r="O56" s="944"/>
    </row>
    <row r="57" spans="1:15" s="692" customFormat="1">
      <c r="A57" s="693" t="s">
        <v>2764</v>
      </c>
      <c r="B57" s="262">
        <f>ROUND($C$48*C57*D57,0)</f>
        <v>0</v>
      </c>
      <c r="C57" s="200">
        <f t="shared" ref="C57:C65" si="16">IF($C$55="北京市系数",I57,J57)</f>
        <v>0</v>
      </c>
      <c r="D57" s="1167">
        <v>0.25</v>
      </c>
      <c r="E57" s="694"/>
      <c r="F57" s="1106">
        <f t="shared" si="15"/>
        <v>0</v>
      </c>
      <c r="G57" s="3239" t="s">
        <v>2765</v>
      </c>
      <c r="H57" s="1107">
        <f>项目基本情况!B37</f>
        <v>0</v>
      </c>
      <c r="I57" s="1111">
        <f>SUMIF(修正!A45:A56,H57,修正!B45:B56)</f>
        <v>0</v>
      </c>
      <c r="J57" s="1115"/>
      <c r="K57" s="1147"/>
      <c r="L57" s="944"/>
      <c r="M57" s="944"/>
      <c r="N57" s="944"/>
      <c r="O57" s="944"/>
    </row>
    <row r="58" spans="1:15" s="692" customFormat="1">
      <c r="A58" s="693" t="s">
        <v>2766</v>
      </c>
      <c r="B58" s="262">
        <f t="shared" ref="B58:B65" si="17">ROUND($C$48*C58*D58,0)</f>
        <v>0</v>
      </c>
      <c r="C58" s="200">
        <f t="shared" si="16"/>
        <v>0</v>
      </c>
      <c r="D58" s="1167">
        <v>0.25</v>
      </c>
      <c r="E58" s="694"/>
      <c r="F58" s="1106">
        <f t="shared" si="15"/>
        <v>0</v>
      </c>
      <c r="G58" s="3239"/>
      <c r="H58" s="1107">
        <f>项目基本情况!B37</f>
        <v>0</v>
      </c>
      <c r="I58" s="1111">
        <f>SUMIF(修正!A45:A56,H58,修正!C45:C56)</f>
        <v>0</v>
      </c>
      <c r="J58" s="1115"/>
      <c r="K58" s="1148"/>
      <c r="L58" s="944"/>
      <c r="M58" s="944"/>
      <c r="N58" s="944"/>
      <c r="O58" s="944"/>
    </row>
    <row r="59" spans="1:15" s="692" customFormat="1">
      <c r="A59" s="693" t="s">
        <v>2767</v>
      </c>
      <c r="B59" s="262">
        <f t="shared" si="17"/>
        <v>0</v>
      </c>
      <c r="C59" s="200">
        <f t="shared" si="16"/>
        <v>0</v>
      </c>
      <c r="D59" s="1167">
        <v>0.25</v>
      </c>
      <c r="E59" s="694"/>
      <c r="F59" s="1106">
        <f t="shared" si="15"/>
        <v>0</v>
      </c>
      <c r="G59" s="3239"/>
      <c r="H59" s="1107">
        <f>项目基本情况!B37</f>
        <v>0</v>
      </c>
      <c r="I59" s="1111">
        <f>SUMIF(修正!A45:A56,H59,修正!D45:D56)</f>
        <v>0</v>
      </c>
      <c r="J59" s="1115"/>
      <c r="K59" s="1147"/>
      <c r="L59" s="944"/>
      <c r="M59" s="944"/>
      <c r="N59" s="944"/>
      <c r="O59" s="944"/>
    </row>
    <row r="60" spans="1:15" s="692" customFormat="1">
      <c r="A60" s="693" t="s">
        <v>2768</v>
      </c>
      <c r="B60" s="262">
        <f t="shared" si="17"/>
        <v>0</v>
      </c>
      <c r="C60" s="200">
        <f t="shared" si="16"/>
        <v>0</v>
      </c>
      <c r="D60" s="1167">
        <v>0.25</v>
      </c>
      <c r="E60" s="694"/>
      <c r="F60" s="1106">
        <f t="shared" si="15"/>
        <v>0</v>
      </c>
      <c r="G60" s="3239"/>
      <c r="H60" s="1107">
        <f>项目基本情况!B37</f>
        <v>0</v>
      </c>
      <c r="I60" s="1111">
        <f>SUMIF(修正!A45:A56,H60,修正!E45:E56)</f>
        <v>0</v>
      </c>
      <c r="J60" s="1115"/>
      <c r="K60" s="1148"/>
      <c r="L60" s="944"/>
      <c r="M60" s="944"/>
      <c r="N60" s="944"/>
      <c r="O60" s="944"/>
    </row>
    <row r="61" spans="1:15" s="692" customFormat="1">
      <c r="A61" s="693" t="s">
        <v>2769</v>
      </c>
      <c r="B61" s="262">
        <f t="shared" si="17"/>
        <v>0</v>
      </c>
      <c r="C61" s="200">
        <f t="shared" si="16"/>
        <v>0</v>
      </c>
      <c r="D61" s="1167">
        <v>0.25</v>
      </c>
      <c r="E61" s="261">
        <f>'数据-汇总表'!E11</f>
        <v>0</v>
      </c>
      <c r="F61" s="1106">
        <f t="shared" si="15"/>
        <v>0</v>
      </c>
      <c r="G61" s="2710" t="s">
        <v>2770</v>
      </c>
      <c r="H61" s="1107">
        <f>项目基本情况!C37</f>
        <v>0</v>
      </c>
      <c r="I61" s="1111">
        <f>SUMIF(修正!A45:A56,H61,修正!F45:F56)</f>
        <v>0</v>
      </c>
      <c r="J61" s="1115"/>
      <c r="K61" s="1147"/>
      <c r="L61" s="944"/>
      <c r="M61" s="944"/>
      <c r="N61" s="944"/>
      <c r="O61" s="944"/>
    </row>
    <row r="62" spans="1:15" s="692" customFormat="1">
      <c r="A62" s="693" t="s">
        <v>2771</v>
      </c>
      <c r="B62" s="262">
        <f t="shared" si="17"/>
        <v>0</v>
      </c>
      <c r="C62" s="200">
        <f t="shared" si="16"/>
        <v>0</v>
      </c>
      <c r="D62" s="1167">
        <v>0.25</v>
      </c>
      <c r="E62" s="261">
        <f>'数据-汇总表'!E12</f>
        <v>0</v>
      </c>
      <c r="F62" s="1106">
        <f t="shared" si="15"/>
        <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f t="shared" si="17"/>
        <v>0</v>
      </c>
      <c r="C63" s="200">
        <f t="shared" si="16"/>
        <v>0</v>
      </c>
      <c r="D63" s="1167">
        <v>0.25</v>
      </c>
      <c r="E63" s="261">
        <f>'数据-汇总表'!E13</f>
        <v>0</v>
      </c>
      <c r="F63" s="1106">
        <f t="shared" si="15"/>
        <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f t="shared" si="17"/>
        <v>0</v>
      </c>
      <c r="C64" s="200">
        <f t="shared" si="16"/>
        <v>0</v>
      </c>
      <c r="D64" s="1167">
        <v>0.25</v>
      </c>
      <c r="E64" s="261">
        <f>'数据-汇总表'!E14</f>
        <v>0</v>
      </c>
      <c r="F64" s="1106">
        <f t="shared" si="15"/>
        <v>0</v>
      </c>
      <c r="G64" s="2710" t="s">
        <v>2765</v>
      </c>
      <c r="H64" s="1107">
        <f>项目基本情况!B37</f>
        <v>0</v>
      </c>
      <c r="I64" s="1111">
        <f>SUMIF(修正!A45:A56,H64,修正!H45:H56)</f>
        <v>0</v>
      </c>
      <c r="J64" s="1115"/>
      <c r="K64" s="1148"/>
      <c r="L64" s="944"/>
      <c r="M64" s="944"/>
      <c r="N64" s="944"/>
      <c r="O64" s="944"/>
    </row>
    <row r="65" spans="1:17" s="692" customFormat="1" ht="15" thickBot="1">
      <c r="A65" s="693" t="s">
        <v>2776</v>
      </c>
      <c r="B65" s="262">
        <f t="shared" si="17"/>
        <v>0</v>
      </c>
      <c r="C65" s="200">
        <f t="shared" si="16"/>
        <v>0</v>
      </c>
      <c r="D65" s="1167">
        <v>0.25</v>
      </c>
      <c r="E65" s="261">
        <f>'数据-汇总表'!E15</f>
        <v>0</v>
      </c>
      <c r="F65" s="1106">
        <f t="shared" si="15"/>
        <v>0</v>
      </c>
      <c r="G65" s="2711"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44886.34</v>
      </c>
      <c r="F66" s="697">
        <f>IF(B46="楼面地价",SUM(F56:F65),ROUND(C48*E66/10000,0))</f>
        <v>29270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2" t="s">
        <v>2778</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2779</v>
      </c>
      <c r="B71" s="332" t="str">
        <f>"北京市平均增长率"&amp;TEXT(SUMIF(基准地价修正!N21:N25,A71,基准地价修正!P21:P25),"0.00%")</f>
        <v>北京市平均增长率2.50%</v>
      </c>
      <c r="C71" s="603">
        <v>100</v>
      </c>
      <c r="D71" s="595">
        <v>99</v>
      </c>
      <c r="E71" s="595">
        <v>98</v>
      </c>
      <c r="F71" s="595">
        <v>97</v>
      </c>
      <c r="G71" s="595">
        <v>96</v>
      </c>
      <c r="H71" s="595">
        <v>95</v>
      </c>
      <c r="I71" s="595">
        <v>94</v>
      </c>
      <c r="J71" s="595">
        <v>93</v>
      </c>
      <c r="K71" s="595">
        <v>92</v>
      </c>
      <c r="L71" s="595">
        <v>91</v>
      </c>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2982" t="s">
        <v>3311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1</v>
      </c>
      <c r="D80" s="549">
        <v>2</v>
      </c>
      <c r="E80" s="549">
        <v>3</v>
      </c>
      <c r="F80" s="549">
        <v>4</v>
      </c>
      <c r="G80" s="549">
        <v>5</v>
      </c>
      <c r="H80" s="549">
        <v>6</v>
      </c>
      <c r="I80" s="549"/>
      <c r="J80" s="549"/>
      <c r="K80" s="550"/>
      <c r="L80" s="551"/>
      <c r="M80" s="552"/>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2984" t="s">
        <v>3314</v>
      </c>
      <c r="D82" s="2984" t="s">
        <v>3315</v>
      </c>
      <c r="E82" s="554"/>
      <c r="F82" s="554"/>
      <c r="G82" s="554"/>
      <c r="H82" s="555"/>
      <c r="I82" s="555"/>
      <c r="J82" s="555"/>
      <c r="K82" s="555"/>
      <c r="L82" s="556"/>
      <c r="M82" s="557"/>
      <c r="N82" s="1157"/>
      <c r="O82" s="1157"/>
      <c r="P82" s="558"/>
      <c r="Q82" s="559"/>
    </row>
    <row r="83" spans="1:17" s="471" customFormat="1" ht="15.75" thickBot="1">
      <c r="A83" s="553"/>
      <c r="B83" s="543"/>
      <c r="C83" s="560">
        <v>100</v>
      </c>
      <c r="D83" s="536">
        <v>120</v>
      </c>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2687</v>
      </c>
      <c r="C106" s="2984" t="s">
        <v>3320</v>
      </c>
      <c r="D106" s="2984" t="s">
        <v>3316</v>
      </c>
      <c r="E106" s="2984" t="s">
        <v>3317</v>
      </c>
      <c r="F106" s="2984" t="s">
        <v>3318</v>
      </c>
      <c r="G106" s="2984" t="s">
        <v>3319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2559</v>
      </c>
      <c r="B116" s="528" t="s">
        <v>2787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70">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2788</v>
      </c>
      <c r="C119" s="583" t="s">
        <v>3321</v>
      </c>
      <c r="D119" s="583" t="s">
        <v>3299</v>
      </c>
      <c r="E119" s="583" t="s">
        <v>3322</v>
      </c>
      <c r="F119" s="583" t="s">
        <v>3323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2789</v>
      </c>
      <c r="C121" s="554" t="s">
        <v>3324</v>
      </c>
      <c r="D121" s="554" t="s">
        <v>3325</v>
      </c>
      <c r="E121" s="2984" t="s">
        <v>3330</v>
      </c>
      <c r="F121" s="2984" t="s">
        <v>3331</v>
      </c>
      <c r="G121" s="2984"/>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2790</v>
      </c>
      <c r="C123" s="554" t="s">
        <v>3304</v>
      </c>
      <c r="D123" s="554" t="s">
        <v>3300</v>
      </c>
      <c r="E123" s="554" t="s">
        <v>3303</v>
      </c>
      <c r="F123" s="554" t="s">
        <v>3326</v>
      </c>
      <c r="G123" s="554" t="s">
        <v>3327</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2791</v>
      </c>
      <c r="C125" s="554" t="s">
        <v>3278</v>
      </c>
      <c r="D125" s="554" t="s">
        <v>3266</v>
      </c>
      <c r="E125" s="583" t="s">
        <v>3268</v>
      </c>
      <c r="F125" s="583" t="s">
        <v>3328</v>
      </c>
      <c r="G125" s="583" t="s">
        <v>3329</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E24" sqref="E2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60593</v>
      </c>
      <c r="C2" s="320" t="s">
        <v>2459</v>
      </c>
      <c r="D2" s="320"/>
      <c r="E2" s="320"/>
      <c r="F2" s="320"/>
      <c r="G2" s="320"/>
      <c r="H2" s="320"/>
      <c r="I2" s="320"/>
      <c r="J2" s="320"/>
      <c r="K2" s="320"/>
    </row>
    <row r="3" spans="1:33" ht="18" customHeight="1" thickBot="1">
      <c r="A3" s="247" t="s">
        <v>2328</v>
      </c>
      <c r="B3" s="248">
        <f ca="1">ROUND(B2*10000/IF(C1="",'数据-汇总表'!E3,INDIRECT("'数据-取费表'!K"&amp;$K$1)),0)</f>
        <v>13499</v>
      </c>
      <c r="C3" s="320" t="s">
        <v>2460</v>
      </c>
      <c r="D3" s="320"/>
      <c r="E3" s="320"/>
      <c r="F3" s="320"/>
      <c r="G3" s="320"/>
      <c r="H3" s="320"/>
      <c r="I3" s="320"/>
      <c r="J3" s="320"/>
      <c r="K3" s="320"/>
    </row>
    <row r="4" spans="1:33" s="959" customFormat="1" ht="16.5" customHeight="1">
      <c r="A4" s="956" t="s">
        <v>2461</v>
      </c>
      <c r="B4" s="957"/>
      <c r="C4" s="999">
        <f>SUM(C8:K8)</f>
        <v>76190</v>
      </c>
      <c r="D4" s="957"/>
      <c r="E4" s="957"/>
      <c r="F4" s="957"/>
      <c r="G4" s="957"/>
      <c r="H4" s="957"/>
      <c r="I4" s="957"/>
      <c r="J4" s="957"/>
      <c r="K4" s="958"/>
    </row>
    <row r="5" spans="1:33" s="963" customFormat="1" ht="15">
      <c r="A5" s="960" t="s">
        <v>2462</v>
      </c>
      <c r="B5" s="961" t="s">
        <v>2463</v>
      </c>
      <c r="C5" s="2555" t="s">
        <v>3176</v>
      </c>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'比较法-公寓'!B3</f>
        <v>16974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44886.34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f>'比较法-公寓'!B2</f>
        <v>76190</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4040</v>
      </c>
      <c r="D11" s="976"/>
      <c r="E11" s="375"/>
      <c r="F11" s="977">
        <f ca="1">1-IF('数据-取费表'!B24=0,1,IF(C1="",'数据-取费表'!N16,INDIRECT("'数据-取费表'!n"&amp;$K$1)))</f>
        <v>0.30000000000000004</v>
      </c>
      <c r="G11" s="8"/>
      <c r="H11" s="971"/>
      <c r="I11" s="971"/>
      <c r="J11" s="971"/>
      <c r="K11" s="972"/>
    </row>
    <row r="12" spans="1:33" s="978" customFormat="1" ht="13.5" customHeight="1">
      <c r="A12" s="974" t="s">
        <v>1335</v>
      </c>
      <c r="B12" s="975" t="s">
        <v>2477</v>
      </c>
      <c r="C12" s="24">
        <f ca="1">ROUND(C11*F12,0)</f>
        <v>121</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1337</v>
      </c>
      <c r="B14" s="975" t="s">
        <v>2481</v>
      </c>
      <c r="C14" s="24">
        <f ca="1">ROUND(D14*E14*F11/10000,0)</f>
        <v>269</v>
      </c>
      <c r="D14" s="1036">
        <f ca="1">IF(C1="",'数据-汇总表'!E3,INDIRECT("'数据-取费表'!K"&amp;$K$1)+INDIRECT("'数据-取费表'!S"&amp;$K$1))</f>
        <v>44886.34</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61</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4491</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44886.34</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57"/>
      <c r="H18" s="1580"/>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170</v>
      </c>
      <c r="F19" s="979"/>
      <c r="G19" s="15"/>
      <c r="H19" s="1582"/>
      <c r="I19" s="984"/>
      <c r="J19" s="984"/>
      <c r="K19" s="985"/>
    </row>
    <row r="20" spans="1:33" s="978" customFormat="1" ht="13.5" customHeight="1">
      <c r="A20" s="974" t="s">
        <v>806</v>
      </c>
      <c r="B20" s="975" t="s">
        <v>2491</v>
      </c>
      <c r="C20" s="24">
        <f ca="1">ROUND(D20*E20/10000,0)</f>
        <v>763</v>
      </c>
      <c r="D20" s="1036">
        <f ca="1">IF(C1="",'数据-汇总表'!E6,IF(INDIRECT("'数据-取费表'!c"&amp;$K$1)="住宅",INDIRECT("'数据-取费表'!s"&amp;$K$1),INDIRECT("'数据-取费表'!k"&amp;$K$1)+INDIRECT("'数据-取费表'!s"&amp;$K$1)))</f>
        <v>44886.34</v>
      </c>
      <c r="E20" s="24">
        <f>'数据-取费表'!B28</f>
        <v>170</v>
      </c>
      <c r="F20" s="979"/>
      <c r="G20" s="15"/>
      <c r="H20" s="984"/>
      <c r="I20" s="984"/>
      <c r="J20" s="984"/>
      <c r="K20" s="985"/>
    </row>
    <row r="21" spans="1:33" s="978" customFormat="1" ht="13.5" customHeight="1">
      <c r="A21" s="964" t="s">
        <v>802</v>
      </c>
      <c r="B21" s="988" t="s">
        <v>2492</v>
      </c>
      <c r="C21" s="989">
        <f ca="1">C16+C17+C18</f>
        <v>4491</v>
      </c>
      <c r="D21" s="990"/>
      <c r="E21" s="325"/>
      <c r="F21" s="325"/>
      <c r="G21" s="140" t="s">
        <v>2493</v>
      </c>
      <c r="H21" s="982"/>
      <c r="I21" s="982"/>
      <c r="J21" s="982"/>
      <c r="K21" s="983"/>
    </row>
    <row r="22" spans="1:33" s="978" customFormat="1" ht="13.5" customHeight="1">
      <c r="A22" s="964" t="s">
        <v>2465</v>
      </c>
      <c r="B22" s="988" t="s">
        <v>2494</v>
      </c>
      <c r="C22" s="989">
        <f ca="1">ROUND(C21*F22,0)</f>
        <v>67</v>
      </c>
      <c r="D22" s="325"/>
      <c r="E22" s="325"/>
      <c r="F22" s="991">
        <f>'数据-取费表'!B37</f>
        <v>1.4999999999999999E-2</v>
      </c>
      <c r="G22" s="8" t="s">
        <v>2495</v>
      </c>
      <c r="H22" s="971"/>
      <c r="I22" s="971"/>
      <c r="J22" s="971"/>
      <c r="K22" s="972"/>
    </row>
    <row r="23" spans="1:33" s="978" customFormat="1" ht="13.5" customHeight="1">
      <c r="A23" s="964" t="s">
        <v>2467</v>
      </c>
      <c r="B23" s="988" t="s">
        <v>2496</v>
      </c>
      <c r="C23" s="989">
        <f ca="1">ROUND(C4*F23*F11,0)</f>
        <v>457</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3.8600000000000002E-2</v>
      </c>
      <c r="D24" s="325" t="s">
        <v>15</v>
      </c>
      <c r="E24" s="325"/>
      <c r="F24" s="991">
        <f>'数据-取费表'!B48+'数据-取费表'!B49</f>
        <v>4.0500000000000001E-2</v>
      </c>
      <c r="G24" s="8" t="s">
        <v>2500</v>
      </c>
      <c r="H24" s="993"/>
      <c r="I24" s="993"/>
      <c r="J24" s="993"/>
      <c r="K24" s="994"/>
    </row>
    <row r="25" spans="1:33" s="978" customFormat="1" ht="13.5" customHeight="1">
      <c r="A25" s="964" t="s">
        <v>2501</v>
      </c>
      <c r="B25" s="990" t="s">
        <v>2502</v>
      </c>
      <c r="C25" s="1359">
        <f ca="1">C27</f>
        <v>59</v>
      </c>
      <c r="D25" s="324">
        <f ca="1">C26</f>
        <v>2.4400000000000002E-2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2.4400000000000002E-2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59</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2505</v>
      </c>
      <c r="B28" s="2560" t="s">
        <v>2506</v>
      </c>
      <c r="C28" s="331">
        <f ca="1">C30</f>
        <v>752</v>
      </c>
      <c r="D28" s="324">
        <f ca="1">C29</f>
        <v>3.1199999999999999E-2</v>
      </c>
      <c r="E28" s="326" t="s">
        <v>15</v>
      </c>
      <c r="F28" s="332">
        <f ca="1">IF(C1="",'数据-取费表'!Q16,INDIRECT("'数据-取费表'!q"&amp;$K$1))</f>
        <v>0.15</v>
      </c>
      <c r="G28" s="992"/>
      <c r="H28" s="993"/>
      <c r="I28" s="993"/>
      <c r="J28" s="993"/>
      <c r="K28" s="994"/>
    </row>
    <row r="29" spans="1:33" s="335" customFormat="1" ht="13.5" customHeight="1">
      <c r="A29" s="974" t="s">
        <v>803</v>
      </c>
      <c r="B29" s="997" t="s">
        <v>2507</v>
      </c>
      <c r="C29" s="328">
        <f ca="1">ROUND((1+C24)*F28*'数据-取费表'!B24/'数据-取费表'!B20,4)</f>
        <v>3.1199999999999999E-2</v>
      </c>
      <c r="D29" s="328"/>
      <c r="E29" s="329"/>
      <c r="F29" s="334"/>
      <c r="G29" s="140" t="s">
        <v>2508</v>
      </c>
      <c r="H29" s="982"/>
      <c r="I29" s="982"/>
      <c r="J29" s="982"/>
      <c r="K29" s="983"/>
    </row>
    <row r="30" spans="1:33" s="335" customFormat="1" ht="13.5" customHeight="1">
      <c r="A30" s="974" t="s">
        <v>804</v>
      </c>
      <c r="B30" s="997" t="s">
        <v>2509</v>
      </c>
      <c r="C30" s="336">
        <f ca="1">ROUND((C21+C22+C23)*F28,0)</f>
        <v>752</v>
      </c>
      <c r="D30" s="328"/>
      <c r="E30" s="329"/>
      <c r="F30" s="334"/>
      <c r="G30" s="140"/>
      <c r="H30" s="982"/>
      <c r="I30" s="982"/>
      <c r="J30" s="982"/>
      <c r="K30" s="983"/>
    </row>
    <row r="31" spans="1:33" s="978" customFormat="1" ht="13.5" customHeight="1" thickBot="1">
      <c r="A31" s="2561" t="s">
        <v>2510</v>
      </c>
      <c r="B31" s="1008" t="s">
        <v>2511</v>
      </c>
      <c r="C31" s="1009">
        <f>ROUND(C4*F31/(1+'数据-取费表'!C42),0)</f>
        <v>4063</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60593</v>
      </c>
      <c r="D32" s="1004"/>
      <c r="E32" s="1004"/>
      <c r="F32" s="1004"/>
      <c r="G32" s="1006" t="s">
        <v>2514</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76" t="s">
        <v>1403</v>
      </c>
      <c r="C6" s="1299">
        <f ca="1">ROUND(F6*F8*F7*(1-F9)/10000,0)</f>
        <v>0</v>
      </c>
      <c r="D6" s="164" t="s">
        <v>3030</v>
      </c>
      <c r="E6" s="347" t="s">
        <v>1405</v>
      </c>
      <c r="F6" s="348">
        <f ca="1">INDIRECT("'数据-取费表'!u"&amp;$G$1)</f>
        <v>0</v>
      </c>
      <c r="G6" s="1854"/>
      <c r="H6" s="1294" t="s">
        <v>1035</v>
      </c>
      <c r="I6" s="3276" t="s">
        <v>1403</v>
      </c>
      <c r="J6" s="346">
        <f ca="1">ROUND(M6*M8*M7*(1-M9)/10000,0)</f>
        <v>0</v>
      </c>
      <c r="K6" s="164" t="s">
        <v>3029</v>
      </c>
      <c r="L6" s="347" t="s">
        <v>1405</v>
      </c>
      <c r="M6" s="348">
        <f ca="1">INDIRECT("'数据-取费表'!z"&amp;$G$1)</f>
        <v>0</v>
      </c>
    </row>
    <row r="7" spans="1:37" ht="18" customHeight="1">
      <c r="A7" s="1298"/>
      <c r="B7" s="3277"/>
      <c r="C7" s="1300"/>
      <c r="D7" s="352"/>
      <c r="E7" s="1301" t="s">
        <v>1406</v>
      </c>
      <c r="F7" s="348">
        <f ca="1">IF(INDIRECT("'数据-取费表'!ah"&amp;$G$1)="",INDIRECT("'数据-取费表'!k"&amp;$G$1),INDIRECT("'数据-取费表'!ah"&amp;$G$1))</f>
        <v>0</v>
      </c>
      <c r="G7" s="1854"/>
      <c r="H7" s="349"/>
      <c r="I7" s="3277"/>
      <c r="J7" s="351"/>
      <c r="K7" s="352"/>
      <c r="L7" s="347" t="s">
        <v>1406</v>
      </c>
      <c r="M7" s="348">
        <f ca="1">F7</f>
        <v>0</v>
      </c>
    </row>
    <row r="8" spans="1:37" ht="18" customHeight="1">
      <c r="A8" s="349"/>
      <c r="B8" s="3277"/>
      <c r="C8" s="351"/>
      <c r="D8" s="352"/>
      <c r="E8" s="347" t="s">
        <v>1407</v>
      </c>
      <c r="F8" s="348">
        <f ca="1">INDIRECT("'数据-取费表'!ai"&amp;$G$1)</f>
        <v>0</v>
      </c>
      <c r="G8" s="1854"/>
      <c r="H8" s="349"/>
      <c r="I8" s="3277"/>
      <c r="J8" s="351"/>
      <c r="K8" s="352"/>
      <c r="L8" s="347" t="s">
        <v>1407</v>
      </c>
      <c r="M8" s="348">
        <f ca="1">INDIRECT("'数据-取费表'!ai"&amp;$G$1)</f>
        <v>0</v>
      </c>
    </row>
    <row r="9" spans="1:37" ht="18" customHeight="1">
      <c r="A9" s="349"/>
      <c r="B9" s="3278"/>
      <c r="C9" s="351"/>
      <c r="D9" s="352"/>
      <c r="E9" s="347" t="s">
        <v>1408</v>
      </c>
      <c r="F9" s="357">
        <f ca="1">INDIRECT("'数据-取费表'!w"&amp;$G$1)</f>
        <v>0</v>
      </c>
      <c r="G9" s="1854"/>
      <c r="H9" s="349"/>
      <c r="I9" s="327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1.4999999999999999E-2</v>
      </c>
      <c r="G20" s="1857"/>
      <c r="H20" s="1204" t="s">
        <v>1389</v>
      </c>
      <c r="I20" s="164" t="s">
        <v>1441</v>
      </c>
      <c r="J20" s="25">
        <f ca="1">ROUND(M20*M21/10000,2)</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74" t="s">
        <v>1548</v>
      </c>
      <c r="L53" s="3275"/>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76" t="s">
        <v>1403</v>
      </c>
      <c r="C6" s="1299">
        <f ca="1">ROUND(F6*F8*F7*(1-F9),0)</f>
        <v>0</v>
      </c>
      <c r="D6" s="164" t="s">
        <v>3027</v>
      </c>
      <c r="E6" s="347" t="s">
        <v>1405</v>
      </c>
      <c r="F6" s="348">
        <f ca="1">INDIRECT("'数据-取费表'!u"&amp;$G$1)</f>
        <v>0</v>
      </c>
      <c r="G6" s="1854"/>
      <c r="H6" s="1294" t="s">
        <v>1035</v>
      </c>
      <c r="I6" s="3276" t="s">
        <v>1403</v>
      </c>
      <c r="J6" s="346">
        <f ca="1">ROUND(M6*M8*M7*(1-M9),0)</f>
        <v>0</v>
      </c>
      <c r="K6" s="1837" t="s">
        <v>3028</v>
      </c>
      <c r="L6" s="347" t="s">
        <v>1405</v>
      </c>
      <c r="M6" s="348">
        <f ca="1">INDIRECT("'数据-取费表'!z"&amp;$G$1)</f>
        <v>0</v>
      </c>
    </row>
    <row r="7" spans="1:37" ht="18" customHeight="1">
      <c r="A7" s="1298"/>
      <c r="B7" s="3277"/>
      <c r="C7" s="1300"/>
      <c r="D7" s="352"/>
      <c r="E7" s="1301" t="s">
        <v>1406</v>
      </c>
      <c r="F7" s="348">
        <f ca="1">IF(INDIRECT("'数据-取费表'!ah"&amp;$G$1)="",INDIRECT("'数据-取费表'!k"&amp;$G$1),INDIRECT("'数据-取费表'!ah"&amp;$G$1))</f>
        <v>0</v>
      </c>
      <c r="G7" s="1854"/>
      <c r="H7" s="349"/>
      <c r="I7" s="3277"/>
      <c r="J7" s="351"/>
      <c r="K7" s="352"/>
      <c r="L7" s="347" t="s">
        <v>1406</v>
      </c>
      <c r="M7" s="348">
        <f ca="1">F7</f>
        <v>0</v>
      </c>
    </row>
    <row r="8" spans="1:37" ht="18" customHeight="1">
      <c r="A8" s="349"/>
      <c r="B8" s="3277"/>
      <c r="C8" s="351"/>
      <c r="D8" s="352"/>
      <c r="E8" s="347" t="s">
        <v>1407</v>
      </c>
      <c r="F8" s="348">
        <f ca="1">INDIRECT("'数据-取费表'!ai"&amp;$G$1)</f>
        <v>0</v>
      </c>
      <c r="G8" s="1854"/>
      <c r="H8" s="349"/>
      <c r="I8" s="3277"/>
      <c r="J8" s="351"/>
      <c r="K8" s="352"/>
      <c r="L8" s="347" t="s">
        <v>1407</v>
      </c>
      <c r="M8" s="348">
        <f ca="1">INDIRECT("'数据-取费表'!ai"&amp;$G$1)</f>
        <v>0</v>
      </c>
    </row>
    <row r="9" spans="1:37" ht="18" customHeight="1">
      <c r="A9" s="349"/>
      <c r="B9" s="3278"/>
      <c r="C9" s="351"/>
      <c r="D9" s="352"/>
      <c r="E9" s="347" t="s">
        <v>1408</v>
      </c>
      <c r="F9" s="357">
        <f ca="1">INDIRECT("'数据-取费表'!w"&amp;$G$1)</f>
        <v>0</v>
      </c>
      <c r="G9" s="1854"/>
      <c r="H9" s="349"/>
      <c r="I9" s="327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1.4999999999999999E-2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74" t="s">
        <v>1548</v>
      </c>
      <c r="L53" s="327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2522</v>
      </c>
      <c r="B1" s="2563"/>
      <c r="C1" s="2563"/>
      <c r="D1" s="2563"/>
      <c r="E1" s="2564"/>
    </row>
    <row r="2" spans="1:6" ht="15.75">
      <c r="A2" s="2565" t="s">
        <v>2326</v>
      </c>
      <c r="B2" s="2566">
        <f ca="1">SUMIF(B6:B13,"&lt;&gt;#ref!",B6:B13)</f>
        <v>76190</v>
      </c>
      <c r="C2" s="2567" t="s">
        <v>2515</v>
      </c>
      <c r="D2" s="2568" t="s">
        <v>2516</v>
      </c>
      <c r="E2" s="2569">
        <f>SUM(E6:E13)</f>
        <v>44886.34</v>
      </c>
    </row>
    <row r="3" spans="1:6" ht="15.75">
      <c r="A3" s="2565" t="s">
        <v>1395</v>
      </c>
      <c r="B3" s="2566">
        <f ca="1">ROUND(B2*10000/E2,0)</f>
        <v>16974</v>
      </c>
      <c r="C3" s="2567" t="s">
        <v>2523</v>
      </c>
      <c r="D3" s="2570"/>
      <c r="E3" s="2571"/>
    </row>
    <row r="4" spans="1:6" ht="15.75">
      <c r="A4" s="2572"/>
      <c r="B4" s="2570"/>
      <c r="C4" s="2570"/>
      <c r="D4" s="2570"/>
      <c r="E4" s="2571"/>
    </row>
    <row r="5" spans="1:6" ht="15">
      <c r="A5" s="2573" t="s">
        <v>2517</v>
      </c>
      <c r="B5" s="3279" t="s">
        <v>2518</v>
      </c>
      <c r="C5" s="3279"/>
      <c r="D5" s="2574"/>
      <c r="E5" s="2575" t="s">
        <v>2519</v>
      </c>
      <c r="F5" s="2576" t="s">
        <v>2520</v>
      </c>
    </row>
    <row r="6" spans="1:6">
      <c r="A6" s="2577" t="str">
        <f>'数据-取费表'!AN6</f>
        <v>比较法-公寓</v>
      </c>
      <c r="B6" s="2576">
        <f ca="1">IF(F6="是",'数据-取费表'!AO6,0)</f>
        <v>76190</v>
      </c>
      <c r="C6" s="2567" t="s">
        <v>2515</v>
      </c>
      <c r="D6" s="2570"/>
      <c r="E6" s="2578">
        <f>IF(OR(A6=0,F6="否"),0,'数据-取费表'!K6+'数据-取费表'!S6)</f>
        <v>44886.34</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6" t="s">
        <v>1076</v>
      </c>
      <c r="B1" s="3297"/>
      <c r="C1" s="3298"/>
      <c r="D1" s="3299">
        <f>SUM(I10,I15,I20,I21,I23)</f>
        <v>0</v>
      </c>
      <c r="E1" s="3299"/>
      <c r="F1" s="3299"/>
      <c r="G1" s="3299"/>
      <c r="H1" s="3299"/>
      <c r="I1" s="3300"/>
    </row>
    <row r="2" spans="1:9">
      <c r="A2" s="3286" t="s">
        <v>1077</v>
      </c>
      <c r="B2" s="3287" t="s">
        <v>1078</v>
      </c>
      <c r="C2" s="3287"/>
      <c r="D2" s="1304" t="s">
        <v>1079</v>
      </c>
      <c r="E2" s="1304" t="s">
        <v>1080</v>
      </c>
      <c r="F2" s="1304" t="s">
        <v>1081</v>
      </c>
      <c r="G2" s="1304" t="s">
        <v>1082</v>
      </c>
      <c r="H2" s="1304" t="s">
        <v>1083</v>
      </c>
      <c r="I2" s="1305" t="s">
        <v>1084</v>
      </c>
    </row>
    <row r="3" spans="1:9">
      <c r="A3" s="3286"/>
      <c r="B3" s="3287" t="s">
        <v>1085</v>
      </c>
      <c r="C3" s="3287"/>
      <c r="D3" s="1306"/>
      <c r="E3" s="1304"/>
      <c r="F3" s="1307"/>
      <c r="G3" s="1307"/>
      <c r="H3" s="1308"/>
      <c r="I3" s="1309">
        <f>ROUND(D3*E3*F3*G3*H3/10000,0)</f>
        <v>0</v>
      </c>
    </row>
    <row r="4" spans="1:9">
      <c r="A4" s="3286"/>
      <c r="B4" s="3287" t="s">
        <v>1086</v>
      </c>
      <c r="C4" s="3287"/>
      <c r="D4" s="1306"/>
      <c r="E4" s="1304"/>
      <c r="F4" s="1307"/>
      <c r="G4" s="1307"/>
      <c r="H4" s="1308"/>
      <c r="I4" s="1309">
        <f t="shared" ref="I4:I9" si="0">ROUND(D4*E4*F4*G4*H4/10000,0)</f>
        <v>0</v>
      </c>
    </row>
    <row r="5" spans="1:9">
      <c r="A5" s="3286"/>
      <c r="B5" s="3287" t="s">
        <v>1087</v>
      </c>
      <c r="C5" s="3287"/>
      <c r="D5" s="1306"/>
      <c r="E5" s="1304"/>
      <c r="F5" s="1307"/>
      <c r="G5" s="1307"/>
      <c r="H5" s="1308"/>
      <c r="I5" s="1309">
        <f t="shared" si="0"/>
        <v>0</v>
      </c>
    </row>
    <row r="6" spans="1:9">
      <c r="A6" s="3286"/>
      <c r="B6" s="3287" t="s">
        <v>1088</v>
      </c>
      <c r="C6" s="3287"/>
      <c r="D6" s="1306"/>
      <c r="E6" s="1304"/>
      <c r="F6" s="1307"/>
      <c r="G6" s="1307"/>
      <c r="H6" s="1308"/>
      <c r="I6" s="1309">
        <f t="shared" si="0"/>
        <v>0</v>
      </c>
    </row>
    <row r="7" spans="1:9">
      <c r="A7" s="3286"/>
      <c r="B7" s="3287" t="s">
        <v>1089</v>
      </c>
      <c r="C7" s="3287"/>
      <c r="D7" s="1306"/>
      <c r="E7" s="1304"/>
      <c r="F7" s="1307"/>
      <c r="G7" s="1307"/>
      <c r="H7" s="1308"/>
      <c r="I7" s="1309">
        <f t="shared" si="0"/>
        <v>0</v>
      </c>
    </row>
    <row r="8" spans="1:9">
      <c r="A8" s="3286"/>
      <c r="B8" s="3287" t="s">
        <v>1090</v>
      </c>
      <c r="C8" s="3287"/>
      <c r="D8" s="1306"/>
      <c r="E8" s="1304"/>
      <c r="F8" s="1307"/>
      <c r="G8" s="1307"/>
      <c r="H8" s="1308"/>
      <c r="I8" s="1309">
        <f t="shared" si="0"/>
        <v>0</v>
      </c>
    </row>
    <row r="9" spans="1:9">
      <c r="A9" s="3286"/>
      <c r="B9" s="3287" t="s">
        <v>1091</v>
      </c>
      <c r="C9" s="3287"/>
      <c r="D9" s="1306"/>
      <c r="E9" s="1304"/>
      <c r="F9" s="1307"/>
      <c r="G9" s="1307"/>
      <c r="H9" s="1308"/>
      <c r="I9" s="1309">
        <f t="shared" si="0"/>
        <v>0</v>
      </c>
    </row>
    <row r="10" spans="1:9">
      <c r="A10" s="3286"/>
      <c r="B10" s="3288" t="s">
        <v>1092</v>
      </c>
      <c r="C10" s="3288"/>
      <c r="D10" s="1310"/>
      <c r="E10" s="1310" t="e">
        <f>ROUND(D1*10000/D10/H9,0)</f>
        <v>#DIV/0!</v>
      </c>
      <c r="F10" s="1311"/>
      <c r="G10" s="1311"/>
      <c r="H10" s="1312"/>
      <c r="I10" s="1313">
        <f>SUM(I3:I9)</f>
        <v>0</v>
      </c>
    </row>
    <row r="11" spans="1:9" ht="14.25">
      <c r="A11" s="3286" t="s">
        <v>1093</v>
      </c>
      <c r="B11" s="3287" t="s">
        <v>1094</v>
      </c>
      <c r="C11" s="3287"/>
      <c r="D11" s="1306" t="s">
        <v>1095</v>
      </c>
      <c r="E11" s="1306" t="s">
        <v>1096</v>
      </c>
      <c r="F11" s="1307" t="s">
        <v>1097</v>
      </c>
      <c r="G11" s="1307" t="s">
        <v>1083</v>
      </c>
      <c r="H11" s="1314" t="s">
        <v>1098</v>
      </c>
      <c r="I11" s="1305" t="s">
        <v>1084</v>
      </c>
    </row>
    <row r="12" spans="1:9">
      <c r="A12" s="3286"/>
      <c r="B12" s="3287" t="s">
        <v>1099</v>
      </c>
      <c r="C12" s="3287"/>
      <c r="D12" s="1306"/>
      <c r="E12" s="1306"/>
      <c r="F12" s="1307"/>
      <c r="G12" s="1308"/>
      <c r="H12" s="1315"/>
      <c r="I12" s="1305">
        <f>ROUND(D12*E12*F12*G12/10000,0)</f>
        <v>0</v>
      </c>
    </row>
    <row r="13" spans="1:9">
      <c r="A13" s="3286"/>
      <c r="B13" s="3287" t="s">
        <v>1100</v>
      </c>
      <c r="C13" s="3287"/>
      <c r="D13" s="1306"/>
      <c r="E13" s="1306"/>
      <c r="F13" s="1307"/>
      <c r="G13" s="1308"/>
      <c r="H13" s="1315"/>
      <c r="I13" s="1305">
        <f>ROUND(D13*E13*F13*G13/10000,0)</f>
        <v>0</v>
      </c>
    </row>
    <row r="14" spans="1:9">
      <c r="A14" s="3286"/>
      <c r="B14" s="3287" t="s">
        <v>1101</v>
      </c>
      <c r="C14" s="3287"/>
      <c r="D14" s="1306"/>
      <c r="E14" s="1306"/>
      <c r="F14" s="1307"/>
      <c r="G14" s="1308"/>
      <c r="H14" s="1315"/>
      <c r="I14" s="1305">
        <f>ROUND(D14*E14*F14*G14/10000,0)</f>
        <v>0</v>
      </c>
    </row>
    <row r="15" spans="1:9">
      <c r="A15" s="3286"/>
      <c r="B15" s="3288" t="s">
        <v>1092</v>
      </c>
      <c r="C15" s="3288"/>
      <c r="D15" s="1310"/>
      <c r="E15" s="1310">
        <f>SUM(E12:E14)</f>
        <v>0</v>
      </c>
      <c r="F15" s="1311"/>
      <c r="G15" s="1308"/>
      <c r="H15" s="1315"/>
      <c r="I15" s="1316">
        <f>SUM(I12:I14)</f>
        <v>0</v>
      </c>
    </row>
    <row r="16" spans="1:9" ht="24">
      <c r="A16" s="3286" t="s">
        <v>1102</v>
      </c>
      <c r="B16" s="3287" t="s">
        <v>1103</v>
      </c>
      <c r="C16" s="3287"/>
      <c r="D16" s="1306" t="s">
        <v>1079</v>
      </c>
      <c r="E16" s="1317" t="s">
        <v>1104</v>
      </c>
      <c r="F16" s="1307" t="s">
        <v>1105</v>
      </c>
      <c r="G16" s="1308" t="s">
        <v>1083</v>
      </c>
      <c r="H16" s="1314" t="s">
        <v>1098</v>
      </c>
      <c r="I16" s="1305" t="s">
        <v>1084</v>
      </c>
    </row>
    <row r="17" spans="1:9" ht="14.25">
      <c r="A17" s="3286"/>
      <c r="B17" s="3287" t="s">
        <v>1106</v>
      </c>
      <c r="C17" s="3287"/>
      <c r="D17" s="1306"/>
      <c r="E17" s="1306"/>
      <c r="F17" s="1307"/>
      <c r="G17" s="1308"/>
      <c r="H17" s="1318"/>
      <c r="I17" s="1319">
        <f>ROUND(D17*E17*F17*G17/10000,0)</f>
        <v>0</v>
      </c>
    </row>
    <row r="18" spans="1:9" ht="14.25">
      <c r="A18" s="3286"/>
      <c r="B18" s="3287" t="s">
        <v>1107</v>
      </c>
      <c r="C18" s="3287"/>
      <c r="D18" s="1306"/>
      <c r="E18" s="1306"/>
      <c r="F18" s="1307"/>
      <c r="G18" s="1308"/>
      <c r="H18" s="1318"/>
      <c r="I18" s="1319">
        <f>ROUND(D18*E18*F18*G18/10000,0)</f>
        <v>0</v>
      </c>
    </row>
    <row r="19" spans="1:9" ht="14.25">
      <c r="A19" s="3286"/>
      <c r="B19" s="3287" t="s">
        <v>1108</v>
      </c>
      <c r="C19" s="3287"/>
      <c r="D19" s="1306"/>
      <c r="E19" s="1306"/>
      <c r="F19" s="1307"/>
      <c r="G19" s="1308"/>
      <c r="H19" s="1318"/>
      <c r="I19" s="1319">
        <f>ROUND(D19*E19*F19*G19/10000,0)</f>
        <v>0</v>
      </c>
    </row>
    <row r="20" spans="1:9">
      <c r="A20" s="3286"/>
      <c r="B20" s="3288" t="s">
        <v>1092</v>
      </c>
      <c r="C20" s="3288"/>
      <c r="D20" s="1310">
        <f>SUM(D17:D19)</f>
        <v>0</v>
      </c>
      <c r="E20" s="1310"/>
      <c r="F20" s="1311"/>
      <c r="G20" s="1308"/>
      <c r="H20" s="1315"/>
      <c r="I20" s="1316">
        <f>SUM(I17:I19)</f>
        <v>0</v>
      </c>
    </row>
    <row r="21" spans="1:9">
      <c r="A21" s="3286" t="s">
        <v>1109</v>
      </c>
      <c r="B21" s="3289"/>
      <c r="C21" s="3289"/>
      <c r="D21" s="3289"/>
      <c r="E21" s="3289"/>
      <c r="F21" s="3289"/>
      <c r="G21" s="3289"/>
      <c r="H21" s="1768">
        <v>0.1</v>
      </c>
      <c r="I21" s="1313">
        <f>ROUND(I10*H21,0)</f>
        <v>0</v>
      </c>
    </row>
    <row r="22" spans="1:9" ht="14.25">
      <c r="A22" s="3290" t="s">
        <v>1110</v>
      </c>
      <c r="B22" s="3291"/>
      <c r="C22" s="3292"/>
      <c r="D22" s="1320" t="s">
        <v>1111</v>
      </c>
      <c r="E22" s="1320" t="s">
        <v>1112</v>
      </c>
      <c r="F22" s="1321" t="s">
        <v>1113</v>
      </c>
      <c r="G22" s="1321" t="s">
        <v>1114</v>
      </c>
      <c r="H22" s="1314" t="s">
        <v>1115</v>
      </c>
      <c r="I22" s="1305" t="s">
        <v>1116</v>
      </c>
    </row>
    <row r="23" spans="1:9" ht="14.25" thickBot="1">
      <c r="A23" s="3293"/>
      <c r="B23" s="3294"/>
      <c r="C23" s="3295"/>
      <c r="D23" s="1322"/>
      <c r="E23" s="1322"/>
      <c r="F23" s="1322"/>
      <c r="G23" s="1323"/>
      <c r="H23" s="1324"/>
      <c r="I23" s="1325">
        <f>ROUND(E23*D23*F23*(1-G23)/10000,0)</f>
        <v>0</v>
      </c>
    </row>
    <row r="26" spans="1:9">
      <c r="A26" s="1326" t="s">
        <v>1117</v>
      </c>
      <c r="B26" s="1326"/>
      <c r="C26" s="1326"/>
      <c r="D26" s="1326"/>
      <c r="E26" s="3283">
        <f>C27-C30-C31-C32</f>
        <v>0</v>
      </c>
      <c r="F26" s="3283"/>
      <c r="G26" s="3283"/>
      <c r="H26" s="1740" t="s">
        <v>1340</v>
      </c>
    </row>
    <row r="27" spans="1:9">
      <c r="A27" s="1327">
        <v>1</v>
      </c>
      <c r="B27" s="1328" t="s">
        <v>1118</v>
      </c>
      <c r="C27" s="1328">
        <f>C28+C29</f>
        <v>0</v>
      </c>
      <c r="D27" s="1328"/>
      <c r="E27" s="3284"/>
      <c r="F27" s="3284"/>
      <c r="G27" s="3284"/>
    </row>
    <row r="28" spans="1:9">
      <c r="A28" s="1329" t="s">
        <v>1119</v>
      </c>
      <c r="B28" s="1328" t="s">
        <v>1120</v>
      </c>
      <c r="C28" s="1328"/>
      <c r="D28" s="1328"/>
      <c r="E28" s="3284"/>
      <c r="F28" s="3284"/>
      <c r="G28" s="328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5"/>
      <c r="F32" s="3285"/>
      <c r="G32" s="3285"/>
    </row>
    <row r="33" spans="1:7" hidden="1">
      <c r="A33" s="3280" t="s">
        <v>1129</v>
      </c>
      <c r="B33" s="3281"/>
      <c r="C33" s="3281"/>
      <c r="D33" s="3282"/>
      <c r="E33" s="3283"/>
      <c r="F33" s="3283"/>
      <c r="G33" s="3283"/>
    </row>
    <row r="34" spans="1:7" hidden="1">
      <c r="A34" s="1331">
        <v>1</v>
      </c>
      <c r="B34" s="1328" t="s">
        <v>1130</v>
      </c>
      <c r="C34" s="1328"/>
      <c r="D34" s="1328"/>
      <c r="E34" s="3284"/>
      <c r="F34" s="3284"/>
      <c r="G34" s="3284"/>
    </row>
    <row r="35" spans="1:7" hidden="1">
      <c r="A35" s="1331">
        <v>2</v>
      </c>
      <c r="B35" s="1328" t="s">
        <v>1131</v>
      </c>
      <c r="C35" s="1328"/>
      <c r="D35" s="1328"/>
      <c r="E35" s="3284"/>
      <c r="F35" s="3284"/>
      <c r="G35" s="3284"/>
    </row>
    <row r="36" spans="1:7" hidden="1">
      <c r="A36" s="1331">
        <v>3</v>
      </c>
      <c r="B36" s="1328" t="s">
        <v>1132</v>
      </c>
      <c r="C36" s="1328"/>
      <c r="D36" s="1328"/>
      <c r="E36" s="3284"/>
      <c r="F36" s="3284"/>
      <c r="G36" s="3284"/>
    </row>
    <row r="37" spans="1:7" hidden="1">
      <c r="A37" s="1331">
        <v>4</v>
      </c>
      <c r="B37" s="1328" t="s">
        <v>1133</v>
      </c>
      <c r="C37" s="1328"/>
      <c r="D37" s="1328"/>
      <c r="E37" s="3284"/>
      <c r="F37" s="3284"/>
      <c r="G37" s="3284"/>
    </row>
    <row r="38" spans="1:7" hidden="1">
      <c r="A38" s="3280" t="s">
        <v>1134</v>
      </c>
      <c r="B38" s="3281"/>
      <c r="C38" s="3281"/>
      <c r="D38" s="3282"/>
      <c r="E38" s="3283"/>
      <c r="F38" s="3283"/>
      <c r="G38" s="32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3" t="s">
        <v>2525</v>
      </c>
      <c r="C1" s="1637" t="s">
        <v>2526</v>
      </c>
      <c r="D1" s="1624" t="s">
        <v>3176</v>
      </c>
      <c r="E1" s="2584"/>
      <c r="F1" s="2585" t="s">
        <v>2527</v>
      </c>
      <c r="G1" s="1634" t="s">
        <v>2528</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76190</v>
      </c>
      <c r="C2" s="2587" t="s">
        <v>70</v>
      </c>
      <c r="D2" s="1368" t="e">
        <f ca="1">SUMIF(INDIRECT("'"&amp;F2&amp;"'"&amp;"!A:A"),"承租人权益价值",INDIRECT("'"&amp;F2&amp;"'"&amp;"!c:c"))</f>
        <v>#REF!</v>
      </c>
      <c r="E2" s="2588" t="s">
        <v>2529</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16974</v>
      </c>
      <c r="C3" s="400" t="s">
        <v>2530</v>
      </c>
      <c r="D3" s="399">
        <f>IF(D1="",'数据-汇总表'!E3,SUMIF('数据-汇总表'!$C19:$C33,D1,'数据-汇总表'!$E19:$E33))</f>
        <v>44886.34</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2531</v>
      </c>
      <c r="B4" s="402"/>
      <c r="C4" s="3235" t="s">
        <v>2532</v>
      </c>
      <c r="D4" s="3248"/>
      <c r="E4" s="3249" t="s">
        <v>2533</v>
      </c>
      <c r="F4" s="3250"/>
      <c r="G4" s="3235" t="s">
        <v>2534</v>
      </c>
      <c r="H4" s="3248"/>
      <c r="I4" s="3235" t="s">
        <v>2535</v>
      </c>
      <c r="J4" s="3248"/>
      <c r="K4" s="2597" t="s">
        <v>2536</v>
      </c>
      <c r="L4" s="1133"/>
      <c r="M4" s="1134"/>
      <c r="N4" s="1134"/>
      <c r="O4" s="1134"/>
      <c r="P4" s="3251" t="s">
        <v>2537</v>
      </c>
      <c r="Q4" s="3252"/>
      <c r="R4" s="3257" t="s">
        <v>2533</v>
      </c>
      <c r="S4" s="3258"/>
      <c r="T4" s="3257" t="s">
        <v>2534</v>
      </c>
      <c r="U4" s="3258"/>
      <c r="V4" s="3244" t="s">
        <v>2535</v>
      </c>
      <c r="W4" s="3244"/>
      <c r="X4" s="1816"/>
      <c r="Y4" s="3257" t="s">
        <v>2537</v>
      </c>
      <c r="Z4" s="3258"/>
      <c r="AA4" s="3245" t="s">
        <v>2533</v>
      </c>
      <c r="AB4" s="3245" t="s">
        <v>2534</v>
      </c>
      <c r="AC4" s="3245" t="s">
        <v>2535</v>
      </c>
    </row>
    <row r="5" spans="1:29" ht="15.75" thickBot="1">
      <c r="A5" s="404"/>
      <c r="B5" s="405"/>
      <c r="C5" s="3312" t="str">
        <f>项目基本情况!F10</f>
        <v>金水区红旗路北、经七路东</v>
      </c>
      <c r="D5" s="3266"/>
      <c r="E5" s="3315" t="s">
        <v>3393</v>
      </c>
      <c r="F5" s="3316"/>
      <c r="G5" s="3310" t="s">
        <v>3395</v>
      </c>
      <c r="H5" s="3311"/>
      <c r="I5" s="3310" t="s">
        <v>3396</v>
      </c>
      <c r="J5" s="3311"/>
      <c r="K5" s="2598"/>
      <c r="L5" s="1133"/>
      <c r="M5" s="1134"/>
      <c r="N5" s="1134"/>
      <c r="O5" s="1134"/>
      <c r="P5" s="3253"/>
      <c r="Q5" s="3254"/>
      <c r="R5" s="3259"/>
      <c r="S5" s="3260"/>
      <c r="T5" s="3259"/>
      <c r="U5" s="3260"/>
      <c r="V5" s="3244"/>
      <c r="W5" s="3244"/>
      <c r="X5" s="1816"/>
      <c r="Y5" s="3259"/>
      <c r="Z5" s="3260"/>
      <c r="AA5" s="3246"/>
      <c r="AB5" s="3246"/>
      <c r="AC5" s="3246"/>
    </row>
    <row r="6" spans="1:29" ht="15.75" hidden="1" thickBot="1">
      <c r="A6" s="406"/>
      <c r="B6" s="407"/>
      <c r="C6" s="3309" t="s">
        <v>2542</v>
      </c>
      <c r="D6" s="3264"/>
      <c r="E6" s="3313" t="s">
        <v>2542</v>
      </c>
      <c r="F6" s="3314"/>
      <c r="G6" s="3309" t="s">
        <v>2542</v>
      </c>
      <c r="H6" s="3264"/>
      <c r="I6" s="3309" t="s">
        <v>2542</v>
      </c>
      <c r="J6" s="3264"/>
      <c r="K6" s="2598" t="s">
        <v>2543</v>
      </c>
      <c r="L6" s="1133"/>
      <c r="M6" s="1134"/>
      <c r="N6" s="1134"/>
      <c r="O6" s="1134"/>
      <c r="P6" s="3255"/>
      <c r="Q6" s="3256"/>
      <c r="R6" s="3259"/>
      <c r="S6" s="3260"/>
      <c r="T6" s="3261"/>
      <c r="U6" s="3262"/>
      <c r="V6" s="3244"/>
      <c r="W6" s="3244"/>
      <c r="X6" s="1816"/>
      <c r="Y6" s="3261"/>
      <c r="Z6" s="3262"/>
      <c r="AA6" s="3247"/>
      <c r="AB6" s="3247"/>
      <c r="AC6" s="3247"/>
    </row>
    <row r="7" spans="1:29" s="117" customFormat="1" ht="15.75" thickBot="1">
      <c r="A7" s="408" t="s">
        <v>2544</v>
      </c>
      <c r="B7" s="409"/>
      <c r="C7" s="410">
        <f>'数据-取费表'!B2</f>
        <v>43248</v>
      </c>
      <c r="D7" s="411">
        <v>100</v>
      </c>
      <c r="E7" s="412">
        <v>43235</v>
      </c>
      <c r="F7" s="413">
        <f>SUMIF(58:58,YEAR(E7)&amp;"-"&amp;MONTH(E7),59:59)</f>
        <v>100</v>
      </c>
      <c r="G7" s="412">
        <v>43240</v>
      </c>
      <c r="H7" s="411">
        <f>SUMIF(58:58,YEAR(G7)&amp;"-"&amp;MONTH(G7),59:59)</f>
        <v>100</v>
      </c>
      <c r="I7" s="412">
        <v>43238</v>
      </c>
      <c r="J7" s="411">
        <f>SUMIF(58:58,YEAR(I7)&amp;"-"&amp;MONTH(I7),59:59)</f>
        <v>100</v>
      </c>
      <c r="K7" s="2599"/>
      <c r="L7" s="1135"/>
      <c r="M7" s="1136"/>
      <c r="N7" s="1136"/>
      <c r="O7" s="1136"/>
      <c r="P7" s="3267" t="s">
        <v>2545</v>
      </c>
      <c r="Q7" s="3269"/>
      <c r="R7" s="770" t="s">
        <v>23</v>
      </c>
      <c r="S7" s="771">
        <f t="shared" ref="S7:S15" si="0">F7</f>
        <v>100</v>
      </c>
      <c r="T7" s="770" t="s">
        <v>23</v>
      </c>
      <c r="U7" s="771">
        <f t="shared" ref="U7:U15" si="1">H7</f>
        <v>100</v>
      </c>
      <c r="V7" s="770" t="s">
        <v>23</v>
      </c>
      <c r="W7" s="771">
        <f t="shared" ref="W7:W15" si="2">J7</f>
        <v>100</v>
      </c>
      <c r="X7" s="772"/>
      <c r="Y7" s="3267" t="s">
        <v>2545</v>
      </c>
      <c r="Z7" s="3268"/>
      <c r="AA7" s="773">
        <f>D7/F7</f>
        <v>1</v>
      </c>
      <c r="AB7" s="773">
        <f>D7/H7</f>
        <v>1</v>
      </c>
      <c r="AC7" s="773">
        <f>D7/J7</f>
        <v>1</v>
      </c>
    </row>
    <row r="8" spans="1:29" s="117" customFormat="1" ht="15.75" thickBot="1">
      <c r="A8" s="408" t="s">
        <v>2546</v>
      </c>
      <c r="B8" s="409"/>
      <c r="C8" s="414" t="s">
        <v>2547</v>
      </c>
      <c r="D8" s="411">
        <v>100</v>
      </c>
      <c r="E8" s="2600" t="s">
        <v>3263</v>
      </c>
      <c r="F8" s="413">
        <f>SUMIF(61:61,E8,62:62)-SUMIF(61:61,C8,62:62)+100</f>
        <v>100</v>
      </c>
      <c r="G8" s="414" t="s">
        <v>3263</v>
      </c>
      <c r="H8" s="411">
        <f>SUMIF(61:61,G8,62:62)-SUMIF(61:61,C8,62:62)+100</f>
        <v>100</v>
      </c>
      <c r="I8" s="2600" t="s">
        <v>3263</v>
      </c>
      <c r="J8" s="411">
        <f>SUMIF(61:61,I8,62:62)-SUMIF(61:61,C8,62:62)+100</f>
        <v>100</v>
      </c>
      <c r="K8" s="2599"/>
      <c r="L8" s="1135"/>
      <c r="M8" s="1136"/>
      <c r="N8" s="1136"/>
      <c r="O8" s="1136"/>
      <c r="P8" s="3267" t="s">
        <v>2548</v>
      </c>
      <c r="Q8" s="3268"/>
      <c r="R8" s="770" t="s">
        <v>23</v>
      </c>
      <c r="S8" s="771">
        <f t="shared" si="0"/>
        <v>100</v>
      </c>
      <c r="T8" s="770" t="s">
        <v>23</v>
      </c>
      <c r="U8" s="771">
        <f t="shared" si="1"/>
        <v>100</v>
      </c>
      <c r="V8" s="770" t="s">
        <v>23</v>
      </c>
      <c r="W8" s="771">
        <f t="shared" si="2"/>
        <v>100</v>
      </c>
      <c r="X8" s="772"/>
      <c r="Y8" s="3267" t="s">
        <v>2548</v>
      </c>
      <c r="Z8" s="3268"/>
      <c r="AA8" s="773">
        <f t="shared" ref="AA8:AA19" si="3">D8/F8</f>
        <v>1</v>
      </c>
      <c r="AB8" s="773">
        <f t="shared" ref="AB8:AB19" si="4">D8/H8</f>
        <v>1</v>
      </c>
      <c r="AC8" s="773">
        <f t="shared" ref="AC8:AC19" si="5">D8/J8</f>
        <v>1</v>
      </c>
    </row>
    <row r="9" spans="1:29" s="117" customFormat="1">
      <c r="A9" s="415" t="s">
        <v>2549</v>
      </c>
      <c r="B9" s="71" t="s">
        <v>2550</v>
      </c>
      <c r="C9" s="2979" t="s">
        <v>3277</v>
      </c>
      <c r="D9" s="135">
        <v>100</v>
      </c>
      <c r="E9" s="417" t="s">
        <v>3264</v>
      </c>
      <c r="F9" s="418">
        <f>SUMIF(63:63,E9,64:64)-SUMIF(63:63,C9,64:64)+100</f>
        <v>100</v>
      </c>
      <c r="G9" s="419" t="s">
        <v>3264</v>
      </c>
      <c r="H9" s="135">
        <f>SUMIF(63:63,G9,64:64)-SUMIF(63:63,C9,64:64)+100</f>
        <v>100</v>
      </c>
      <c r="I9" s="419" t="s">
        <v>3264</v>
      </c>
      <c r="J9" s="135">
        <f>SUMIF(63:63,I9,64:64)-SUMIF(63:63,C9,64:64)+100</f>
        <v>100</v>
      </c>
      <c r="K9" s="2599"/>
      <c r="L9" s="1135"/>
      <c r="M9" s="1136"/>
      <c r="N9" s="1136"/>
      <c r="O9" s="1136"/>
      <c r="P9" s="3237" t="s">
        <v>2551</v>
      </c>
      <c r="Q9" s="1798" t="str">
        <f t="shared" ref="Q9:Q15" si="6">B9</f>
        <v>用途</v>
      </c>
      <c r="R9" s="770" t="s">
        <v>17</v>
      </c>
      <c r="S9" s="771">
        <f t="shared" si="0"/>
        <v>100</v>
      </c>
      <c r="T9" s="770" t="s">
        <v>17</v>
      </c>
      <c r="U9" s="771">
        <f t="shared" si="1"/>
        <v>100</v>
      </c>
      <c r="V9" s="770" t="s">
        <v>17</v>
      </c>
      <c r="W9" s="771">
        <f t="shared" si="2"/>
        <v>100</v>
      </c>
      <c r="X9" s="772"/>
      <c r="Y9" s="3068" t="s">
        <v>2552</v>
      </c>
      <c r="Z9" s="55" t="str">
        <f t="shared" ref="Z9:Z15" si="7">Q9</f>
        <v>用途</v>
      </c>
      <c r="AA9" s="773">
        <f t="shared" si="3"/>
        <v>1</v>
      </c>
      <c r="AB9" s="773">
        <f t="shared" si="4"/>
        <v>1</v>
      </c>
      <c r="AC9" s="773">
        <f t="shared" si="5"/>
        <v>1</v>
      </c>
    </row>
    <row r="10" spans="1:29" s="427" customFormat="1" ht="27">
      <c r="A10" s="421"/>
      <c r="B10" s="422" t="s">
        <v>2553</v>
      </c>
      <c r="C10" s="423" t="s">
        <v>3265</v>
      </c>
      <c r="D10" s="136">
        <v>100</v>
      </c>
      <c r="E10" s="424" t="s">
        <v>3265</v>
      </c>
      <c r="F10" s="425">
        <f>SUMIF(65:65,E10,66:66)-SUMIF(65:65,C10,66:66)+100</f>
        <v>100</v>
      </c>
      <c r="G10" s="423" t="s">
        <v>3265</v>
      </c>
      <c r="H10" s="136">
        <f>SUMIF(65:65,G10,66:66)-SUMIF(65:65,C10,66:66)+100</f>
        <v>100</v>
      </c>
      <c r="I10" s="423" t="s">
        <v>3265</v>
      </c>
      <c r="J10" s="136">
        <f>SUMIF(65:65,I10,66:66)-SUMIF(65:65,C10,66:66)+100</f>
        <v>100</v>
      </c>
      <c r="K10" s="426">
        <v>1</v>
      </c>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75" thickBot="1">
      <c r="A11" s="428"/>
      <c r="B11" s="422" t="s">
        <v>2554</v>
      </c>
      <c r="C11" s="429">
        <f>'数据-汇总表'!I6</f>
        <v>5.84</v>
      </c>
      <c r="D11" s="136">
        <v>100</v>
      </c>
      <c r="E11" s="430">
        <v>2.82</v>
      </c>
      <c r="F11" s="425">
        <f>LOOKUP(E11,68:68,69:69)-LOOKUP(C11,68:68,69:69)+100</f>
        <v>106</v>
      </c>
      <c r="G11" s="429">
        <v>3.47</v>
      </c>
      <c r="H11" s="136">
        <f>LOOKUP(G11,68:68,69:69)-LOOKUP(C11,68:68,69:69)+100</f>
        <v>103</v>
      </c>
      <c r="I11" s="429">
        <v>6.4</v>
      </c>
      <c r="J11" s="136">
        <f>LOOKUP(I11,68:68,69:69)-LOOKUP(C11,68:68,69:69)+100</f>
        <v>100</v>
      </c>
      <c r="K11" s="3015">
        <v>3</v>
      </c>
      <c r="L11" s="1141"/>
      <c r="M11" s="1134"/>
      <c r="N11" s="1134"/>
      <c r="O11" s="1134"/>
      <c r="P11" s="3237"/>
      <c r="Q11" s="1798" t="str">
        <f t="shared" si="6"/>
        <v>容积率</v>
      </c>
      <c r="R11" s="770" t="s">
        <v>21</v>
      </c>
      <c r="S11" s="771">
        <f t="shared" si="0"/>
        <v>106</v>
      </c>
      <c r="T11" s="770" t="s">
        <v>21</v>
      </c>
      <c r="U11" s="771">
        <f t="shared" si="1"/>
        <v>103</v>
      </c>
      <c r="V11" s="770" t="s">
        <v>21</v>
      </c>
      <c r="W11" s="771">
        <f t="shared" si="2"/>
        <v>100</v>
      </c>
      <c r="X11" s="772"/>
      <c r="Y11" s="3068"/>
      <c r="Z11" s="55" t="str">
        <f t="shared" si="7"/>
        <v>容积率</v>
      </c>
      <c r="AA11" s="773">
        <f t="shared" si="3"/>
        <v>0.94339622641509435</v>
      </c>
      <c r="AB11" s="773">
        <f t="shared" si="4"/>
        <v>0.970873786407767</v>
      </c>
      <c r="AC11" s="773">
        <f t="shared" si="5"/>
        <v>1</v>
      </c>
    </row>
    <row r="12" spans="1:29" s="117" customFormat="1" ht="15" hidden="1">
      <c r="A12" s="431"/>
      <c r="B12" s="2601">
        <v>111</v>
      </c>
      <c r="C12" s="432"/>
      <c r="D12" s="433">
        <v>100</v>
      </c>
      <c r="E12" s="432">
        <v>111</v>
      </c>
      <c r="F12" s="425">
        <f>SUMIF(70:70,E12,71:71)-SUMIF(70:70,C12,71:71)+100</f>
        <v>100</v>
      </c>
      <c r="G12" s="432">
        <v>111</v>
      </c>
      <c r="H12" s="136">
        <f>SUMIF(70:70,G12,71:71)-SUMIF(70:70,C12,71:71)+100</f>
        <v>100</v>
      </c>
      <c r="I12" s="432">
        <v>111</v>
      </c>
      <c r="J12" s="136">
        <f>SUMIF(70:70,I12,71:71)-SUMIF(70:70,C12,71:71)+100</f>
        <v>100</v>
      </c>
      <c r="K12" s="3016"/>
      <c r="L12" s="1135"/>
      <c r="M12" s="1136"/>
      <c r="N12" s="1136"/>
      <c r="O12" s="1136"/>
      <c r="P12" s="3237"/>
      <c r="Q12" s="1798">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hidden="1">
      <c r="A13" s="428"/>
      <c r="B13" s="2601">
        <v>111</v>
      </c>
      <c r="C13" s="434"/>
      <c r="D13" s="435">
        <v>100</v>
      </c>
      <c r="E13" s="434">
        <v>111</v>
      </c>
      <c r="F13" s="425">
        <f>SUMIF(72:72,E13,73:73)-SUMIF(72:72,C13,73:73)+100</f>
        <v>100</v>
      </c>
      <c r="G13" s="434">
        <v>111</v>
      </c>
      <c r="H13" s="435">
        <f>SUMIF(72:72,G13,73:73)-SUMIF(72:72,C13,73:73)+100</f>
        <v>100</v>
      </c>
      <c r="I13" s="434">
        <v>111</v>
      </c>
      <c r="J13" s="435">
        <f>SUMIF(72:72,I13,73:73)-SUMIF(72:72,C13,73:73)+100</f>
        <v>100</v>
      </c>
      <c r="K13" s="3016"/>
      <c r="L13" s="1143"/>
      <c r="M13" s="1134"/>
      <c r="N13" s="1134"/>
      <c r="O13" s="1134"/>
      <c r="P13" s="3237"/>
      <c r="Q13" s="1798">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hidden="1" thickBot="1">
      <c r="A14" s="436"/>
      <c r="B14" s="2603">
        <v>111</v>
      </c>
      <c r="C14" s="437"/>
      <c r="D14" s="438">
        <v>100</v>
      </c>
      <c r="E14" s="437">
        <v>111</v>
      </c>
      <c r="F14" s="439">
        <f>SUMIF(74:74,E14,75:75)-SUMIF(74:74,C14,75:75)+100</f>
        <v>100</v>
      </c>
      <c r="G14" s="437">
        <v>111</v>
      </c>
      <c r="H14" s="438">
        <f>SUMIF(74:74,G14,75:75)-SUMIF(74:74,C14,75:75)+100</f>
        <v>100</v>
      </c>
      <c r="I14" s="437">
        <v>111</v>
      </c>
      <c r="J14" s="438">
        <f>SUMIF(74:74,I14,75:75)-SUMIF(74:74,C14,75:75)+100</f>
        <v>100</v>
      </c>
      <c r="K14" s="3016"/>
      <c r="L14" s="1143"/>
      <c r="M14" s="1134"/>
      <c r="N14" s="1134"/>
      <c r="O14" s="1134"/>
      <c r="P14" s="3237"/>
      <c r="Q14" s="1798">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2555</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97</v>
      </c>
      <c r="I15" s="442"/>
      <c r="J15" s="441">
        <f>SUMIF(76:76,I16,77:77)-SUMIF(76:76,C16,77:77)+100</f>
        <v>97</v>
      </c>
      <c r="K15" s="3017">
        <v>3</v>
      </c>
      <c r="L15" s="1143"/>
      <c r="M15" s="1134"/>
      <c r="N15" s="1134"/>
      <c r="O15" s="1134"/>
      <c r="P15" s="3307" t="s">
        <v>2556</v>
      </c>
      <c r="Q15" s="1813" t="str">
        <f t="shared" si="6"/>
        <v>居住社区成熟度</v>
      </c>
      <c r="R15" s="774" t="s">
        <v>21</v>
      </c>
      <c r="S15" s="775">
        <f t="shared" si="0"/>
        <v>100</v>
      </c>
      <c r="T15" s="774" t="s">
        <v>21</v>
      </c>
      <c r="U15" s="775">
        <f t="shared" si="1"/>
        <v>97</v>
      </c>
      <c r="V15" s="774" t="s">
        <v>21</v>
      </c>
      <c r="W15" s="775">
        <f t="shared" si="2"/>
        <v>97</v>
      </c>
      <c r="X15" s="1816"/>
      <c r="Y15" s="3240" t="s">
        <v>2556</v>
      </c>
      <c r="Z15" s="1817" t="str">
        <f t="shared" si="7"/>
        <v>居住社区成熟度</v>
      </c>
      <c r="AA15" s="1814">
        <f t="shared" si="3"/>
        <v>1</v>
      </c>
      <c r="AB15" s="1814">
        <f t="shared" si="4"/>
        <v>1.0309278350515463</v>
      </c>
      <c r="AC15" s="1814">
        <f t="shared" si="5"/>
        <v>1.0309278350515463</v>
      </c>
    </row>
    <row r="16" spans="1:29" ht="15">
      <c r="A16" s="428"/>
      <c r="B16" s="446"/>
      <c r="C16" s="447" t="s">
        <v>3266</v>
      </c>
      <c r="D16" s="448"/>
      <c r="E16" s="2605" t="s">
        <v>3266</v>
      </c>
      <c r="F16" s="448"/>
      <c r="G16" s="2606" t="s">
        <v>3268</v>
      </c>
      <c r="H16" s="450"/>
      <c r="I16" s="2606" t="s">
        <v>3268</v>
      </c>
      <c r="J16" s="448"/>
      <c r="K16" s="2607"/>
      <c r="L16" s="1143"/>
      <c r="M16" s="1134"/>
      <c r="N16" s="1134"/>
      <c r="O16" s="1134"/>
      <c r="P16" s="3308"/>
      <c r="Q16" s="1813"/>
      <c r="R16" s="774"/>
      <c r="S16" s="775"/>
      <c r="T16" s="774"/>
      <c r="U16" s="775"/>
      <c r="V16" s="774"/>
      <c r="W16" s="775"/>
      <c r="X16" s="1816"/>
      <c r="Y16" s="3241"/>
      <c r="Z16" s="1817"/>
      <c r="AA16" s="1814">
        <v>1</v>
      </c>
      <c r="AB16" s="1814">
        <v>1</v>
      </c>
      <c r="AC16" s="1814">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308"/>
      <c r="Q17" s="1813" t="str">
        <f>B17</f>
        <v>交通便捷度</v>
      </c>
      <c r="R17" s="774" t="s">
        <v>21</v>
      </c>
      <c r="S17" s="775">
        <f>F17</f>
        <v>100</v>
      </c>
      <c r="T17" s="774" t="s">
        <v>21</v>
      </c>
      <c r="U17" s="775">
        <f>H17</f>
        <v>100</v>
      </c>
      <c r="V17" s="774" t="s">
        <v>21</v>
      </c>
      <c r="W17" s="775">
        <f>J17</f>
        <v>100</v>
      </c>
      <c r="X17" s="1816"/>
      <c r="Y17" s="3241"/>
      <c r="Z17" s="1817" t="str">
        <f>Q17</f>
        <v>交通便捷度</v>
      </c>
      <c r="AA17" s="1814">
        <f t="shared" si="3"/>
        <v>1</v>
      </c>
      <c r="AB17" s="1814">
        <f t="shared" si="4"/>
        <v>1</v>
      </c>
      <c r="AC17" s="1814">
        <f t="shared" si="5"/>
        <v>1</v>
      </c>
    </row>
    <row r="18" spans="1:29" ht="15">
      <c r="A18" s="428"/>
      <c r="B18" s="456"/>
      <c r="C18" s="2609" t="s">
        <v>3266</v>
      </c>
      <c r="D18" s="450"/>
      <c r="E18" s="2610" t="s">
        <v>3266</v>
      </c>
      <c r="F18" s="450"/>
      <c r="G18" s="2611" t="s">
        <v>3266</v>
      </c>
      <c r="H18" s="448"/>
      <c r="I18" s="2611" t="s">
        <v>3266</v>
      </c>
      <c r="J18" s="448"/>
      <c r="K18" s="2607"/>
      <c r="L18" s="1143"/>
      <c r="M18" s="1134"/>
      <c r="N18" s="1134"/>
      <c r="O18" s="1134"/>
      <c r="P18" s="3308"/>
      <c r="Q18" s="1813"/>
      <c r="R18" s="774"/>
      <c r="S18" s="775"/>
      <c r="T18" s="774"/>
      <c r="U18" s="775"/>
      <c r="V18" s="774"/>
      <c r="W18" s="775"/>
      <c r="X18" s="1816"/>
      <c r="Y18" s="3241"/>
      <c r="Z18" s="1817"/>
      <c r="AA18" s="1814">
        <v>1</v>
      </c>
      <c r="AB18" s="1814">
        <v>1</v>
      </c>
      <c r="AC18" s="1814">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96</v>
      </c>
      <c r="K19" s="445">
        <v>4</v>
      </c>
      <c r="L19" s="1143"/>
      <c r="M19" s="1134"/>
      <c r="N19" s="1134"/>
      <c r="O19" s="1134"/>
      <c r="P19" s="3308"/>
      <c r="Q19" s="1813" t="str">
        <f>B19</f>
        <v>公共配套设施</v>
      </c>
      <c r="R19" s="774" t="s">
        <v>21</v>
      </c>
      <c r="S19" s="775">
        <f>F19</f>
        <v>100</v>
      </c>
      <c r="T19" s="774" t="s">
        <v>21</v>
      </c>
      <c r="U19" s="775">
        <f>H19</f>
        <v>100</v>
      </c>
      <c r="V19" s="774" t="s">
        <v>21</v>
      </c>
      <c r="W19" s="775">
        <f>J19</f>
        <v>96</v>
      </c>
      <c r="X19" s="1816"/>
      <c r="Y19" s="3241"/>
      <c r="Z19" s="1817" t="str">
        <f>Q19</f>
        <v>公共配套设施</v>
      </c>
      <c r="AA19" s="1814">
        <f t="shared" si="3"/>
        <v>1</v>
      </c>
      <c r="AB19" s="1814">
        <f t="shared" si="4"/>
        <v>1</v>
      </c>
      <c r="AC19" s="1814">
        <f t="shared" si="5"/>
        <v>1.0416666666666667</v>
      </c>
    </row>
    <row r="20" spans="1:29" ht="15">
      <c r="A20" s="428"/>
      <c r="B20" s="456"/>
      <c r="C20" s="447" t="s">
        <v>3266</v>
      </c>
      <c r="D20" s="448"/>
      <c r="E20" s="2605" t="s">
        <v>3266</v>
      </c>
      <c r="F20" s="448"/>
      <c r="G20" s="2606" t="s">
        <v>3266</v>
      </c>
      <c r="H20" s="448"/>
      <c r="I20" s="2606" t="s">
        <v>3268</v>
      </c>
      <c r="J20" s="448"/>
      <c r="K20" s="2607"/>
      <c r="L20" s="1143"/>
      <c r="M20" s="1134"/>
      <c r="N20" s="1134"/>
      <c r="O20" s="1134"/>
      <c r="P20" s="3308"/>
      <c r="Q20" s="1813"/>
      <c r="R20" s="774"/>
      <c r="S20" s="775"/>
      <c r="T20" s="774"/>
      <c r="U20" s="775"/>
      <c r="V20" s="774"/>
      <c r="W20" s="775"/>
      <c r="X20" s="1816"/>
      <c r="Y20" s="3241"/>
      <c r="Z20" s="1817"/>
      <c r="AA20" s="1814">
        <v>1</v>
      </c>
      <c r="AB20" s="1814">
        <v>1</v>
      </c>
      <c r="AC20" s="1814">
        <v>1</v>
      </c>
    </row>
    <row r="21" spans="1:29" ht="28.5">
      <c r="A21" s="428"/>
      <c r="B21" s="1387"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308"/>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1814">
        <f t="shared" ref="AC21" si="10">D21/J21</f>
        <v>1</v>
      </c>
    </row>
    <row r="22" spans="1:29" ht="15">
      <c r="A22" s="428"/>
      <c r="B22" s="1387"/>
      <c r="C22" s="2609" t="s">
        <v>3267</v>
      </c>
      <c r="D22" s="448"/>
      <c r="E22" s="447" t="s">
        <v>3267</v>
      </c>
      <c r="F22" s="448"/>
      <c r="G22" s="2612" t="s">
        <v>3267</v>
      </c>
      <c r="H22" s="448"/>
      <c r="I22" s="447" t="s">
        <v>3267</v>
      </c>
      <c r="J22" s="448"/>
      <c r="K22" s="2613"/>
      <c r="L22" s="1143"/>
      <c r="M22" s="1134"/>
      <c r="N22" s="1134"/>
      <c r="O22" s="1134"/>
      <c r="P22" s="3308"/>
      <c r="Q22" s="1813"/>
      <c r="R22" s="774"/>
      <c r="S22" s="775"/>
      <c r="T22" s="774"/>
      <c r="U22" s="775"/>
      <c r="V22" s="774"/>
      <c r="W22" s="775"/>
      <c r="X22" s="1816"/>
      <c r="Y22" s="3241"/>
      <c r="Z22" s="1817"/>
      <c r="AA22" s="1814">
        <v>1</v>
      </c>
      <c r="AB22" s="1814">
        <v>1</v>
      </c>
      <c r="AC22" s="1814">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96</v>
      </c>
      <c r="I23" s="452"/>
      <c r="J23" s="450">
        <f>SUMIF(84:84,I24,85:85)-SUMIF(84:84,C24,85:85)+100</f>
        <v>96</v>
      </c>
      <c r="K23" s="445">
        <v>4</v>
      </c>
      <c r="L23" s="1143"/>
      <c r="M23" s="1134"/>
      <c r="N23" s="1134"/>
      <c r="O23" s="1134"/>
      <c r="P23" s="3308"/>
      <c r="Q23" s="1813" t="str">
        <f>B23</f>
        <v>自然及人文环境</v>
      </c>
      <c r="R23" s="774" t="s">
        <v>21</v>
      </c>
      <c r="S23" s="775">
        <f>F23</f>
        <v>100</v>
      </c>
      <c r="T23" s="774" t="s">
        <v>21</v>
      </c>
      <c r="U23" s="775">
        <f>H23</f>
        <v>96</v>
      </c>
      <c r="V23" s="774" t="s">
        <v>21</v>
      </c>
      <c r="W23" s="775">
        <f>J23</f>
        <v>96</v>
      </c>
      <c r="X23" s="1816"/>
      <c r="Y23" s="3241"/>
      <c r="Z23" s="1817" t="str">
        <f>Q23</f>
        <v>自然及人文环境</v>
      </c>
      <c r="AA23" s="1814">
        <f>D23/F23</f>
        <v>1</v>
      </c>
      <c r="AB23" s="1814">
        <f>D23/H23</f>
        <v>1.0416666666666667</v>
      </c>
      <c r="AC23" s="1814">
        <f>D23/J23</f>
        <v>1.0416666666666667</v>
      </c>
    </row>
    <row r="24" spans="1:29" ht="15">
      <c r="A24" s="428"/>
      <c r="B24" s="456"/>
      <c r="C24" s="447" t="s">
        <v>3266</v>
      </c>
      <c r="D24" s="448"/>
      <c r="E24" s="2605" t="s">
        <v>3266</v>
      </c>
      <c r="F24" s="448"/>
      <c r="G24" s="2606" t="s">
        <v>3268</v>
      </c>
      <c r="H24" s="448"/>
      <c r="I24" s="2606" t="s">
        <v>3268</v>
      </c>
      <c r="J24" s="448"/>
      <c r="K24" s="2607"/>
      <c r="L24" s="1143"/>
      <c r="M24" s="1134"/>
      <c r="N24" s="1134"/>
      <c r="O24" s="1134"/>
      <c r="P24" s="3308"/>
      <c r="Q24" s="1813"/>
      <c r="R24" s="774"/>
      <c r="S24" s="775"/>
      <c r="T24" s="774"/>
      <c r="U24" s="775"/>
      <c r="V24" s="774"/>
      <c r="W24" s="775"/>
      <c r="X24" s="1816"/>
      <c r="Y24" s="3241"/>
      <c r="Z24" s="1817"/>
      <c r="AA24" s="1814">
        <v>1</v>
      </c>
      <c r="AB24" s="1814">
        <v>1</v>
      </c>
      <c r="AC24" s="1814">
        <v>1</v>
      </c>
    </row>
    <row r="25" spans="1:29" ht="15" hidden="1">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30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1"/>
      <c r="Z25" s="1817" t="str">
        <f>Q25</f>
        <v>楼层-1</v>
      </c>
      <c r="AA25" s="1814">
        <f t="shared" ref="AA25:AA46" si="15">D25/F25</f>
        <v>1</v>
      </c>
      <c r="AB25" s="1814">
        <f t="shared" ref="AB25:AB46" si="16">D25/H25</f>
        <v>1</v>
      </c>
      <c r="AC25" s="1814">
        <f t="shared" ref="AC25:AC46" si="17">D25/J25</f>
        <v>1</v>
      </c>
    </row>
    <row r="26" spans="1:29" ht="15" hidden="1">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308"/>
      <c r="Q26" s="1813" t="str">
        <f t="shared" si="11"/>
        <v>朝向</v>
      </c>
      <c r="R26" s="774" t="s">
        <v>21</v>
      </c>
      <c r="S26" s="775">
        <f t="shared" si="12"/>
        <v>100</v>
      </c>
      <c r="T26" s="774" t="s">
        <v>21</v>
      </c>
      <c r="U26" s="775">
        <f t="shared" si="13"/>
        <v>100</v>
      </c>
      <c r="V26" s="774" t="s">
        <v>21</v>
      </c>
      <c r="W26" s="775">
        <f t="shared" si="14"/>
        <v>100</v>
      </c>
      <c r="X26" s="1816"/>
      <c r="Y26" s="3241"/>
      <c r="Z26" s="1817" t="str">
        <f>Q26</f>
        <v>朝向</v>
      </c>
      <c r="AA26" s="1814">
        <f t="shared" si="15"/>
        <v>1</v>
      </c>
      <c r="AB26" s="1814">
        <f t="shared" si="16"/>
        <v>1</v>
      </c>
      <c r="AC26" s="1814">
        <f t="shared" si="17"/>
        <v>1</v>
      </c>
    </row>
    <row r="27" spans="1:29" s="117" customFormat="1" ht="15.75" thickBot="1">
      <c r="A27" s="431"/>
      <c r="B27" s="2980" t="s">
        <v>3279</v>
      </c>
      <c r="C27" s="2981" t="s">
        <v>3280</v>
      </c>
      <c r="D27" s="462">
        <v>100</v>
      </c>
      <c r="E27" s="2983" t="s">
        <v>3394</v>
      </c>
      <c r="F27" s="462">
        <f>SUMIF(90:90,E27,91:91)-SUMIF(90:90,C27,91:91)+100</f>
        <v>101</v>
      </c>
      <c r="G27" s="463" t="s">
        <v>3269</v>
      </c>
      <c r="H27" s="462">
        <f>SUMIF(90:90,G27,91:91)-SUMIF(90:90,C27,91:91)+100</f>
        <v>100</v>
      </c>
      <c r="I27" s="463" t="s">
        <v>3269</v>
      </c>
      <c r="J27" s="462">
        <f>SUMIF(90:90,I27,91:91)-SUMIF(90:90,C27,91:91)+100</f>
        <v>100</v>
      </c>
      <c r="K27" s="2602"/>
      <c r="L27" s="1135"/>
      <c r="M27" s="1136"/>
      <c r="N27" s="1136"/>
      <c r="O27" s="1136"/>
      <c r="P27" s="3308"/>
      <c r="Q27" s="1798" t="str">
        <f t="shared" si="11"/>
        <v>道路级别</v>
      </c>
      <c r="R27" s="770" t="s">
        <v>21</v>
      </c>
      <c r="S27" s="771">
        <f t="shared" si="12"/>
        <v>101</v>
      </c>
      <c r="T27" s="770" t="s">
        <v>21</v>
      </c>
      <c r="U27" s="771">
        <f t="shared" si="13"/>
        <v>100</v>
      </c>
      <c r="V27" s="770" t="s">
        <v>21</v>
      </c>
      <c r="W27" s="771">
        <f t="shared" si="14"/>
        <v>100</v>
      </c>
      <c r="X27" s="772"/>
      <c r="Y27" s="3241"/>
      <c r="Z27" s="55" t="str">
        <f>Q27</f>
        <v>道路级别</v>
      </c>
      <c r="AA27" s="1814">
        <f t="shared" si="15"/>
        <v>0.99009900990099009</v>
      </c>
      <c r="AB27" s="1814">
        <f t="shared" si="16"/>
        <v>1</v>
      </c>
      <c r="AC27" s="1814">
        <f t="shared" si="17"/>
        <v>1</v>
      </c>
    </row>
    <row r="28" spans="1:29" ht="15" hidden="1">
      <c r="A28" s="428"/>
      <c r="B28" s="1389">
        <v>111</v>
      </c>
      <c r="C28" s="434"/>
      <c r="D28" s="435">
        <v>100</v>
      </c>
      <c r="E28" s="434">
        <v>111</v>
      </c>
      <c r="F28" s="435">
        <f>SUMIF(92:92,E28,93:93)-SUMIF(92:92,C28,93:93)+100</f>
        <v>100</v>
      </c>
      <c r="G28" s="2616">
        <v>111</v>
      </c>
      <c r="H28" s="435">
        <f>SUMIF(92:92,G28,93:93)-SUMIF(92:92,C28,93:93)+100</f>
        <v>100</v>
      </c>
      <c r="I28" s="434">
        <v>111</v>
      </c>
      <c r="J28" s="435">
        <f>SUMIF(92:92,I28,93:93)-SUMIF(92:92,C28,93:93)+100</f>
        <v>100</v>
      </c>
      <c r="K28" s="2602"/>
      <c r="L28" s="1143"/>
      <c r="M28" s="1134"/>
      <c r="N28" s="1134"/>
      <c r="O28" s="1134"/>
      <c r="P28" s="3308"/>
      <c r="Q28" s="1813">
        <f t="shared" si="11"/>
        <v>111</v>
      </c>
      <c r="R28" s="774" t="s">
        <v>21</v>
      </c>
      <c r="S28" s="775">
        <f t="shared" si="12"/>
        <v>100</v>
      </c>
      <c r="T28" s="774" t="s">
        <v>21</v>
      </c>
      <c r="U28" s="775">
        <f t="shared" si="13"/>
        <v>100</v>
      </c>
      <c r="V28" s="774" t="s">
        <v>21</v>
      </c>
      <c r="W28" s="775">
        <f t="shared" si="14"/>
        <v>100</v>
      </c>
      <c r="X28" s="1816"/>
      <c r="Y28" s="3241"/>
      <c r="Z28" s="1817">
        <f t="shared" ref="Z28:Z46" si="18">Q28</f>
        <v>111</v>
      </c>
      <c r="AA28" s="1814">
        <f t="shared" si="15"/>
        <v>1</v>
      </c>
      <c r="AB28" s="1814">
        <f t="shared" si="16"/>
        <v>1</v>
      </c>
      <c r="AC28" s="1814">
        <f t="shared" si="17"/>
        <v>1</v>
      </c>
    </row>
    <row r="29" spans="1:29" ht="15" hidden="1">
      <c r="A29" s="428"/>
      <c r="B29" s="1389">
        <v>111</v>
      </c>
      <c r="C29" s="434"/>
      <c r="D29" s="435">
        <v>100</v>
      </c>
      <c r="E29" s="434">
        <v>111</v>
      </c>
      <c r="F29" s="435">
        <f>SUMIF(94:94,E29,95:95)-SUMIF(94:94,C29,95:95)+100</f>
        <v>100</v>
      </c>
      <c r="G29" s="2616">
        <v>111</v>
      </c>
      <c r="H29" s="435">
        <f>SUMIF(94:94,G29,95:95)-SUMIF(94:94,C29,95:95)+100</f>
        <v>100</v>
      </c>
      <c r="I29" s="434">
        <v>111</v>
      </c>
      <c r="J29" s="435">
        <f>SUMIF(94:94,I29,95:95)-SUMIF(94:94,C29,95:95)+100</f>
        <v>100</v>
      </c>
      <c r="K29" s="2602"/>
      <c r="L29" s="1143"/>
      <c r="M29" s="1134"/>
      <c r="N29" s="1134"/>
      <c r="O29" s="1134"/>
      <c r="P29" s="3308"/>
      <c r="Q29" s="1813">
        <f t="shared" si="11"/>
        <v>111</v>
      </c>
      <c r="R29" s="774" t="s">
        <v>21</v>
      </c>
      <c r="S29" s="775">
        <f t="shared" si="12"/>
        <v>100</v>
      </c>
      <c r="T29" s="774" t="s">
        <v>21</v>
      </c>
      <c r="U29" s="775">
        <f t="shared" si="13"/>
        <v>100</v>
      </c>
      <c r="V29" s="774" t="s">
        <v>21</v>
      </c>
      <c r="W29" s="775">
        <f t="shared" si="14"/>
        <v>100</v>
      </c>
      <c r="X29" s="1816"/>
      <c r="Y29" s="3241"/>
      <c r="Z29" s="1817">
        <f t="shared" si="18"/>
        <v>111</v>
      </c>
      <c r="AA29" s="1814">
        <f t="shared" si="15"/>
        <v>1</v>
      </c>
      <c r="AB29" s="1814">
        <f t="shared" si="16"/>
        <v>1</v>
      </c>
      <c r="AC29" s="1814">
        <f t="shared" si="17"/>
        <v>1</v>
      </c>
    </row>
    <row r="30" spans="1:29" ht="15" hidden="1">
      <c r="A30" s="428"/>
      <c r="B30" s="1389">
        <v>111</v>
      </c>
      <c r="C30" s="434"/>
      <c r="D30" s="435">
        <v>100</v>
      </c>
      <c r="E30" s="434">
        <v>111</v>
      </c>
      <c r="F30" s="435">
        <f>SUMIF(96:96,E30,97:97)-SUMIF(96:96,C30,97:97)+100</f>
        <v>100</v>
      </c>
      <c r="G30" s="2616">
        <v>111</v>
      </c>
      <c r="H30" s="435">
        <f>SUMIF(96:96,G30,97:97)-SUMIF(96:96,C30,97:97)+100</f>
        <v>100</v>
      </c>
      <c r="I30" s="434">
        <v>111</v>
      </c>
      <c r="J30" s="435">
        <f>SUMIF(96:96,I30,97:97)-SUMIF(96:96,C30,97:97)+100</f>
        <v>100</v>
      </c>
      <c r="K30" s="2602"/>
      <c r="L30" s="1143"/>
      <c r="M30" s="1134"/>
      <c r="N30" s="1134"/>
      <c r="O30" s="1134"/>
      <c r="P30" s="3308"/>
      <c r="Q30" s="1813">
        <f t="shared" si="11"/>
        <v>111</v>
      </c>
      <c r="R30" s="774" t="s">
        <v>21</v>
      </c>
      <c r="S30" s="775">
        <f t="shared" si="12"/>
        <v>100</v>
      </c>
      <c r="T30" s="774" t="s">
        <v>21</v>
      </c>
      <c r="U30" s="775">
        <f t="shared" si="13"/>
        <v>100</v>
      </c>
      <c r="V30" s="774" t="s">
        <v>21</v>
      </c>
      <c r="W30" s="775">
        <f t="shared" si="14"/>
        <v>100</v>
      </c>
      <c r="X30" s="1816"/>
      <c r="Y30" s="3241"/>
      <c r="Z30" s="1817">
        <f t="shared" si="18"/>
        <v>111</v>
      </c>
      <c r="AA30" s="1814">
        <f t="shared" si="15"/>
        <v>1</v>
      </c>
      <c r="AB30" s="1814">
        <f t="shared" si="16"/>
        <v>1</v>
      </c>
      <c r="AC30" s="1814">
        <f t="shared" si="17"/>
        <v>1</v>
      </c>
    </row>
    <row r="31" spans="1:29" ht="15.75" hidden="1" thickBot="1">
      <c r="A31" s="436"/>
      <c r="B31" s="1389">
        <v>111</v>
      </c>
      <c r="C31" s="437"/>
      <c r="D31" s="438">
        <v>100</v>
      </c>
      <c r="E31" s="437">
        <v>111</v>
      </c>
      <c r="F31" s="438">
        <f>SUMIF(98:98,E31,99:99)-SUMIF(98:98,C31,99:99)+100</f>
        <v>100</v>
      </c>
      <c r="G31" s="2617">
        <v>111</v>
      </c>
      <c r="H31" s="438">
        <f>SUMIF(98:98,G31,99:99)-SUMIF(98:98,C31,99:99)+100</f>
        <v>100</v>
      </c>
      <c r="I31" s="437">
        <v>111</v>
      </c>
      <c r="J31" s="438">
        <f>SUMIF(98:98,I31,99:99)-SUMIF(98:98,C31,99:99)+100</f>
        <v>100</v>
      </c>
      <c r="K31" s="2602"/>
      <c r="L31" s="1143"/>
      <c r="M31" s="1134"/>
      <c r="N31" s="1134"/>
      <c r="O31" s="1134"/>
      <c r="P31" s="3308"/>
      <c r="Q31" s="1813">
        <f t="shared" si="11"/>
        <v>111</v>
      </c>
      <c r="R31" s="774" t="s">
        <v>21</v>
      </c>
      <c r="S31" s="775">
        <f t="shared" si="12"/>
        <v>100</v>
      </c>
      <c r="T31" s="774" t="s">
        <v>21</v>
      </c>
      <c r="U31" s="775">
        <f t="shared" si="13"/>
        <v>100</v>
      </c>
      <c r="V31" s="774" t="s">
        <v>21</v>
      </c>
      <c r="W31" s="775">
        <f t="shared" si="14"/>
        <v>100</v>
      </c>
      <c r="X31" s="1816"/>
      <c r="Y31" s="3241"/>
      <c r="Z31" s="1817">
        <f t="shared" si="18"/>
        <v>111</v>
      </c>
      <c r="AA31" s="1814">
        <f t="shared" si="15"/>
        <v>1</v>
      </c>
      <c r="AB31" s="1814">
        <f t="shared" si="16"/>
        <v>1</v>
      </c>
      <c r="AC31" s="1814">
        <f t="shared" si="17"/>
        <v>1</v>
      </c>
    </row>
    <row r="32" spans="1:29" ht="15">
      <c r="A32" s="440" t="s">
        <v>2559</v>
      </c>
      <c r="B32" s="71" t="s">
        <v>2560</v>
      </c>
      <c r="C32" s="2618" t="s">
        <v>3270</v>
      </c>
      <c r="D32" s="467">
        <v>100</v>
      </c>
      <c r="E32" s="2619" t="s">
        <v>3270</v>
      </c>
      <c r="F32" s="461">
        <f>SUMIF(100:100,E32,101:101)-SUMIF(100:100,C32,101:101)+100</f>
        <v>100</v>
      </c>
      <c r="G32" s="2618" t="s">
        <v>3270</v>
      </c>
      <c r="H32" s="467">
        <f>SUMIF(100:100,G32,101:101)-SUMIF(100:100,C32,101:101)+100</f>
        <v>100</v>
      </c>
      <c r="I32" s="2619" t="s">
        <v>3270</v>
      </c>
      <c r="J32" s="435">
        <f>SUMIF(100:100,I32,101:101)-SUMIF(100:100,C32,101:101)+100</f>
        <v>100</v>
      </c>
      <c r="K32" s="426">
        <v>15</v>
      </c>
      <c r="L32" s="1143"/>
      <c r="M32" s="1134"/>
      <c r="N32" s="1134"/>
      <c r="O32" s="1134"/>
      <c r="P32" s="3303" t="s">
        <v>2561</v>
      </c>
      <c r="Q32" s="1813" t="str">
        <f t="shared" si="11"/>
        <v>建筑类型</v>
      </c>
      <c r="R32" s="774" t="s">
        <v>21</v>
      </c>
      <c r="S32" s="775">
        <f t="shared" si="12"/>
        <v>100</v>
      </c>
      <c r="T32" s="774" t="s">
        <v>21</v>
      </c>
      <c r="U32" s="775">
        <f t="shared" si="13"/>
        <v>100</v>
      </c>
      <c r="V32" s="774" t="s">
        <v>21</v>
      </c>
      <c r="W32" s="775">
        <f t="shared" si="14"/>
        <v>100</v>
      </c>
      <c r="X32" s="1816"/>
      <c r="Y32" s="3243" t="s">
        <v>2561</v>
      </c>
      <c r="Z32" s="1817" t="str">
        <f t="shared" si="18"/>
        <v>建筑类型</v>
      </c>
      <c r="AA32" s="1814">
        <f t="shared" si="15"/>
        <v>1</v>
      </c>
      <c r="AB32" s="1814">
        <f t="shared" si="16"/>
        <v>1</v>
      </c>
      <c r="AC32" s="1814">
        <f t="shared" si="17"/>
        <v>1</v>
      </c>
    </row>
    <row r="33" spans="1:29" s="471" customFormat="1" ht="15">
      <c r="A33" s="468"/>
      <c r="B33" s="422" t="s">
        <v>2562</v>
      </c>
      <c r="C33" s="469">
        <f>'数据-基础表'!B3</f>
        <v>508521.72</v>
      </c>
      <c r="D33" s="136">
        <v>100</v>
      </c>
      <c r="E33" s="430">
        <v>170000</v>
      </c>
      <c r="F33" s="425">
        <f>LOOKUP(E33,103:103,104:104)-LOOKUP(C33,103:103,104:104)+100</f>
        <v>94</v>
      </c>
      <c r="G33" s="429">
        <v>180000</v>
      </c>
      <c r="H33" s="136">
        <f>LOOKUP(G33,103:103,104:104)-LOOKUP(C33,103:103,104:104)+100</f>
        <v>94</v>
      </c>
      <c r="I33" s="430">
        <v>350000</v>
      </c>
      <c r="J33" s="136">
        <f>LOOKUP(I33,103:103,104:104)-LOOKUP(C33,103:103,104:104)+100</f>
        <v>100</v>
      </c>
      <c r="K33" s="2602"/>
      <c r="L33" s="1141"/>
      <c r="M33" s="1144"/>
      <c r="N33" s="1144"/>
      <c r="O33" s="1144"/>
      <c r="P33" s="3304"/>
      <c r="Q33" s="776" t="str">
        <f t="shared" si="11"/>
        <v>项目建筑规模</v>
      </c>
      <c r="R33" s="777" t="s">
        <v>21</v>
      </c>
      <c r="S33" s="778">
        <f t="shared" si="12"/>
        <v>94</v>
      </c>
      <c r="T33" s="777" t="s">
        <v>21</v>
      </c>
      <c r="U33" s="778">
        <f t="shared" si="13"/>
        <v>94</v>
      </c>
      <c r="V33" s="777" t="s">
        <v>21</v>
      </c>
      <c r="W33" s="778">
        <f t="shared" si="14"/>
        <v>100</v>
      </c>
      <c r="X33" s="779"/>
      <c r="Y33" s="3243"/>
      <c r="Z33" s="780" t="str">
        <f t="shared" si="18"/>
        <v>项目建筑规模</v>
      </c>
      <c r="AA33" s="1814">
        <f t="shared" si="15"/>
        <v>1.0638297872340425</v>
      </c>
      <c r="AB33" s="1814">
        <f t="shared" si="16"/>
        <v>1.0638297872340425</v>
      </c>
      <c r="AC33" s="1814">
        <f t="shared" si="17"/>
        <v>1</v>
      </c>
    </row>
    <row r="34" spans="1:29" ht="15">
      <c r="A34" s="472"/>
      <c r="B34" s="422" t="s">
        <v>2563</v>
      </c>
      <c r="C34" s="2620" t="s">
        <v>3271</v>
      </c>
      <c r="D34" s="435">
        <v>100</v>
      </c>
      <c r="E34" s="2621" t="s">
        <v>3271</v>
      </c>
      <c r="F34" s="461">
        <f>SUMIF(105:105,E34,106:106)-SUMIF(105:105,C34,106:106)+100</f>
        <v>100</v>
      </c>
      <c r="G34" s="2620" t="s">
        <v>3271</v>
      </c>
      <c r="H34" s="435">
        <f>SUMIF(105:105,G34,106:106)-SUMIF(105:105,C34,106:106)+100</f>
        <v>100</v>
      </c>
      <c r="I34" s="2621" t="s">
        <v>3271</v>
      </c>
      <c r="J34" s="435">
        <f>SUMIF(105:105,I34,106:106)-SUMIF(105:105,C34,106:106)+100</f>
        <v>100</v>
      </c>
      <c r="K34" s="426">
        <v>2</v>
      </c>
      <c r="L34" s="1143"/>
      <c r="M34" s="1134"/>
      <c r="N34" s="1134"/>
      <c r="O34" s="1134"/>
      <c r="P34" s="3304"/>
      <c r="Q34" s="1813" t="str">
        <f t="shared" si="11"/>
        <v>建筑结构</v>
      </c>
      <c r="R34" s="774" t="s">
        <v>21</v>
      </c>
      <c r="S34" s="775">
        <f t="shared" si="12"/>
        <v>100</v>
      </c>
      <c r="T34" s="774" t="s">
        <v>21</v>
      </c>
      <c r="U34" s="775">
        <f t="shared" si="13"/>
        <v>100</v>
      </c>
      <c r="V34" s="774" t="s">
        <v>21</v>
      </c>
      <c r="W34" s="775">
        <f t="shared" si="14"/>
        <v>100</v>
      </c>
      <c r="X34" s="1816"/>
      <c r="Y34" s="3243"/>
      <c r="Z34" s="1817" t="str">
        <f t="shared" si="18"/>
        <v>建筑结构</v>
      </c>
      <c r="AA34" s="1814">
        <f t="shared" si="15"/>
        <v>1</v>
      </c>
      <c r="AB34" s="1814">
        <f t="shared" si="16"/>
        <v>1</v>
      </c>
      <c r="AC34" s="1814">
        <f t="shared" si="17"/>
        <v>1</v>
      </c>
    </row>
    <row r="35" spans="1:29" ht="15">
      <c r="A35" s="472"/>
      <c r="B35" s="422" t="s">
        <v>2564</v>
      </c>
      <c r="C35" s="2614" t="s">
        <v>3272</v>
      </c>
      <c r="D35" s="435">
        <v>100</v>
      </c>
      <c r="E35" s="2615" t="s">
        <v>3272</v>
      </c>
      <c r="F35" s="461">
        <f>SUMIF(107:107,E35,108:108)-SUMIF(107:107,C35,108:108)+100</f>
        <v>100</v>
      </c>
      <c r="G35" s="2614" t="s">
        <v>3272</v>
      </c>
      <c r="H35" s="435">
        <f>SUMIF(107:107,G35,108:108)-SUMIF(107:107,C35,108:108)+100</f>
        <v>100</v>
      </c>
      <c r="I35" s="2615" t="s">
        <v>3272</v>
      </c>
      <c r="J35" s="435">
        <f>SUMIF(107:107,I35,108:108)-SUMIF(107:107,C35,108:108)+100</f>
        <v>100</v>
      </c>
      <c r="K35" s="426">
        <v>5</v>
      </c>
      <c r="L35" s="1143"/>
      <c r="M35" s="1134"/>
      <c r="N35" s="1134"/>
      <c r="O35" s="1134"/>
      <c r="P35" s="3304"/>
      <c r="Q35" s="1813" t="str">
        <f t="shared" si="11"/>
        <v>建筑品质</v>
      </c>
      <c r="R35" s="774" t="s">
        <v>21</v>
      </c>
      <c r="S35" s="775">
        <f t="shared" si="12"/>
        <v>100</v>
      </c>
      <c r="T35" s="774" t="s">
        <v>21</v>
      </c>
      <c r="U35" s="775">
        <f t="shared" si="13"/>
        <v>100</v>
      </c>
      <c r="V35" s="774" t="s">
        <v>21</v>
      </c>
      <c r="W35" s="775">
        <f t="shared" si="14"/>
        <v>100</v>
      </c>
      <c r="X35" s="1816"/>
      <c r="Y35" s="3243"/>
      <c r="Z35" s="1817" t="str">
        <f t="shared" si="18"/>
        <v>建筑品质</v>
      </c>
      <c r="AA35" s="1814">
        <f t="shared" si="15"/>
        <v>1</v>
      </c>
      <c r="AB35" s="1814">
        <f t="shared" si="16"/>
        <v>1</v>
      </c>
      <c r="AC35" s="1814">
        <f t="shared" si="17"/>
        <v>1</v>
      </c>
    </row>
    <row r="36" spans="1:29" ht="15">
      <c r="A36" s="472"/>
      <c r="B36" s="422" t="s">
        <v>2565</v>
      </c>
      <c r="C36" s="2614" t="s">
        <v>3273</v>
      </c>
      <c r="D36" s="435">
        <v>100</v>
      </c>
      <c r="E36" s="2615" t="s">
        <v>3273</v>
      </c>
      <c r="F36" s="461">
        <f>SUMIF(109:109,E36,110:110)-SUMIF(109:109,C36,110:110)+100</f>
        <v>100</v>
      </c>
      <c r="G36" s="2614" t="s">
        <v>3273</v>
      </c>
      <c r="H36" s="435">
        <f>SUMIF(109:109,G36,110:110)-SUMIF(109:109,C36,110:110)+100</f>
        <v>100</v>
      </c>
      <c r="I36" s="2615" t="s">
        <v>3273</v>
      </c>
      <c r="J36" s="435">
        <f>SUMIF(109:109,I36,110:110)-SUMIF(109:109,C36,110:110)+100</f>
        <v>100</v>
      </c>
      <c r="K36" s="426">
        <v>2</v>
      </c>
      <c r="L36" s="1143"/>
      <c r="M36" s="1134"/>
      <c r="N36" s="1134"/>
      <c r="O36" s="1134"/>
      <c r="P36" s="3304"/>
      <c r="Q36" s="1813" t="str">
        <f t="shared" si="11"/>
        <v>公共部分装修</v>
      </c>
      <c r="R36" s="774" t="s">
        <v>21</v>
      </c>
      <c r="S36" s="775">
        <f t="shared" si="12"/>
        <v>100</v>
      </c>
      <c r="T36" s="774" t="s">
        <v>21</v>
      </c>
      <c r="U36" s="775">
        <f t="shared" si="13"/>
        <v>100</v>
      </c>
      <c r="V36" s="774" t="s">
        <v>21</v>
      </c>
      <c r="W36" s="775">
        <f t="shared" si="14"/>
        <v>100</v>
      </c>
      <c r="X36" s="1816"/>
      <c r="Y36" s="3243"/>
      <c r="Z36" s="1817" t="str">
        <f t="shared" si="18"/>
        <v>公共部分装修</v>
      </c>
      <c r="AA36" s="1814">
        <f t="shared" si="15"/>
        <v>1</v>
      </c>
      <c r="AB36" s="1814">
        <f t="shared" si="16"/>
        <v>1</v>
      </c>
      <c r="AC36" s="1814">
        <f t="shared" si="17"/>
        <v>1</v>
      </c>
    </row>
    <row r="37" spans="1:29" s="117" customFormat="1" ht="15">
      <c r="A37" s="473"/>
      <c r="B37" s="422" t="s">
        <v>2566</v>
      </c>
      <c r="C37" s="474">
        <v>1</v>
      </c>
      <c r="D37" s="136">
        <v>100</v>
      </c>
      <c r="E37" s="474">
        <f>ROUND(1-(2018-2016)/60,2)</f>
        <v>0.97</v>
      </c>
      <c r="F37" s="425">
        <f>LOOKUP(E37,112:112,113:113)-LOOKUP(C37,112:112,113:113)+100</f>
        <v>100</v>
      </c>
      <c r="G37" s="474">
        <f>ROUND(1-(2018-2016)/60,2)</f>
        <v>0.97</v>
      </c>
      <c r="H37" s="136">
        <f>LOOKUP(G37,112:112,113:113)-LOOKUP(C37,112:112,113:113)+100</f>
        <v>100</v>
      </c>
      <c r="I37" s="475">
        <v>1</v>
      </c>
      <c r="J37" s="136">
        <f>LOOKUP(I37,112:112,113:113)-LOOKUP(C37,112:112,113:113)+100</f>
        <v>100</v>
      </c>
      <c r="K37" s="426">
        <v>1</v>
      </c>
      <c r="L37" s="1135"/>
      <c r="M37" s="1136"/>
      <c r="N37" s="1136"/>
      <c r="O37" s="1136"/>
      <c r="P37" s="3304"/>
      <c r="Q37" s="1798" t="str">
        <f t="shared" si="11"/>
        <v>成新度</v>
      </c>
      <c r="R37" s="770" t="s">
        <v>21</v>
      </c>
      <c r="S37" s="771">
        <f t="shared" si="12"/>
        <v>100</v>
      </c>
      <c r="T37" s="770" t="s">
        <v>21</v>
      </c>
      <c r="U37" s="771">
        <f t="shared" si="13"/>
        <v>100</v>
      </c>
      <c r="V37" s="770" t="s">
        <v>21</v>
      </c>
      <c r="W37" s="771">
        <f t="shared" si="14"/>
        <v>100</v>
      </c>
      <c r="X37" s="772"/>
      <c r="Y37" s="3243"/>
      <c r="Z37" s="55" t="str">
        <f t="shared" si="18"/>
        <v>成新度</v>
      </c>
      <c r="AA37" s="773">
        <f t="shared" si="15"/>
        <v>1</v>
      </c>
      <c r="AB37" s="773">
        <f t="shared" si="16"/>
        <v>1</v>
      </c>
      <c r="AC37" s="773">
        <f t="shared" si="17"/>
        <v>1</v>
      </c>
    </row>
    <row r="38" spans="1:29" ht="15">
      <c r="A38" s="472"/>
      <c r="B38" s="422" t="s">
        <v>2567</v>
      </c>
      <c r="C38" s="2614" t="s">
        <v>3274</v>
      </c>
      <c r="D38" s="435">
        <v>100</v>
      </c>
      <c r="E38" s="2615" t="s">
        <v>3274</v>
      </c>
      <c r="F38" s="461">
        <f>SUMIF(114:114,E38,115:115)-SUMIF(114:114,C38,115:115)+100</f>
        <v>100</v>
      </c>
      <c r="G38" s="2614" t="s">
        <v>3274</v>
      </c>
      <c r="H38" s="435">
        <f>SUMIF(114:114,G38,115:115)-SUMIF(114:114,C38,115:115)+100</f>
        <v>100</v>
      </c>
      <c r="I38" s="2615" t="s">
        <v>3274</v>
      </c>
      <c r="J38" s="435">
        <f>SUMIF(114:114,I38,115:115)-SUMIF(114:114,C38,115:115)+100</f>
        <v>100</v>
      </c>
      <c r="K38" s="426">
        <v>3</v>
      </c>
      <c r="L38" s="1143"/>
      <c r="M38" s="1134"/>
      <c r="N38" s="1134"/>
      <c r="O38" s="1134"/>
      <c r="P38" s="3304" t="s">
        <v>2561</v>
      </c>
      <c r="Q38" s="1813" t="str">
        <f t="shared" si="11"/>
        <v>物业管理</v>
      </c>
      <c r="R38" s="774" t="s">
        <v>21</v>
      </c>
      <c r="S38" s="775">
        <f t="shared" si="12"/>
        <v>100</v>
      </c>
      <c r="T38" s="774" t="s">
        <v>21</v>
      </c>
      <c r="U38" s="775">
        <f t="shared" si="13"/>
        <v>100</v>
      </c>
      <c r="V38" s="774" t="s">
        <v>21</v>
      </c>
      <c r="W38" s="775">
        <f t="shared" si="14"/>
        <v>100</v>
      </c>
      <c r="X38" s="1816"/>
      <c r="Y38" s="3243" t="s">
        <v>2561</v>
      </c>
      <c r="Z38" s="1817" t="str">
        <f t="shared" si="18"/>
        <v>物业管理</v>
      </c>
      <c r="AA38" s="1814">
        <f t="shared" si="15"/>
        <v>1</v>
      </c>
      <c r="AB38" s="1814">
        <f t="shared" si="16"/>
        <v>1</v>
      </c>
      <c r="AC38" s="1814">
        <f t="shared" si="17"/>
        <v>1</v>
      </c>
    </row>
    <row r="39" spans="1:29" ht="15">
      <c r="A39" s="472"/>
      <c r="B39" s="422" t="s">
        <v>2568</v>
      </c>
      <c r="C39" s="2614" t="s">
        <v>3267</v>
      </c>
      <c r="D39" s="435">
        <v>100</v>
      </c>
      <c r="E39" s="2615" t="s">
        <v>3267</v>
      </c>
      <c r="F39" s="461">
        <f>SUMIF(116:116,E39,117:117)-SUMIF(116:116,C39,117:117)+100</f>
        <v>100</v>
      </c>
      <c r="G39" s="2614" t="s">
        <v>3267</v>
      </c>
      <c r="H39" s="435">
        <f>SUMIF(116:116,G39,117:117)-SUMIF(116:116,C39,117:117)+100</f>
        <v>100</v>
      </c>
      <c r="I39" s="2615" t="s">
        <v>3267</v>
      </c>
      <c r="J39" s="435">
        <f>SUMIF(116:116,I39,117:117)-SUMIF(116:116,C39,117:117)+100</f>
        <v>100</v>
      </c>
      <c r="K39" s="426">
        <v>2</v>
      </c>
      <c r="L39" s="1143"/>
      <c r="M39" s="1134"/>
      <c r="N39" s="1134"/>
      <c r="O39" s="1134"/>
      <c r="P39" s="3304"/>
      <c r="Q39" s="1813" t="str">
        <f t="shared" si="11"/>
        <v>市政基础设施</v>
      </c>
      <c r="R39" s="774" t="s">
        <v>21</v>
      </c>
      <c r="S39" s="775">
        <f t="shared" si="12"/>
        <v>100</v>
      </c>
      <c r="T39" s="774" t="s">
        <v>21</v>
      </c>
      <c r="U39" s="775">
        <f t="shared" si="13"/>
        <v>100</v>
      </c>
      <c r="V39" s="774" t="s">
        <v>21</v>
      </c>
      <c r="W39" s="775">
        <f t="shared" si="14"/>
        <v>100</v>
      </c>
      <c r="X39" s="1816"/>
      <c r="Y39" s="3243"/>
      <c r="Z39" s="1817" t="str">
        <f t="shared" si="18"/>
        <v>市政基础设施</v>
      </c>
      <c r="AA39" s="1814">
        <f t="shared" si="15"/>
        <v>1</v>
      </c>
      <c r="AB39" s="1814">
        <f t="shared" si="16"/>
        <v>1</v>
      </c>
      <c r="AC39" s="1814">
        <f t="shared" si="17"/>
        <v>1</v>
      </c>
    </row>
    <row r="40" spans="1:29" ht="15">
      <c r="A40" s="472"/>
      <c r="B40" s="422" t="s">
        <v>2569</v>
      </c>
      <c r="C40" s="2614" t="s">
        <v>3275</v>
      </c>
      <c r="D40" s="435">
        <v>100</v>
      </c>
      <c r="E40" s="2615" t="s">
        <v>3275</v>
      </c>
      <c r="F40" s="461">
        <f>SUMIF(118:118,E40,119:119)-SUMIF(118:118,C40,119:119)+100</f>
        <v>100</v>
      </c>
      <c r="G40" s="2614" t="s">
        <v>3275</v>
      </c>
      <c r="H40" s="435">
        <f>SUMIF(118:118,G40,119:119)-SUMIF(118:118,C40,119:119)+100</f>
        <v>100</v>
      </c>
      <c r="I40" s="2615" t="s">
        <v>3275</v>
      </c>
      <c r="J40" s="435">
        <f>SUMIF(118:118,I40,119:119)-SUMIF(118:118,C40,119:119)+100</f>
        <v>100</v>
      </c>
      <c r="K40" s="426">
        <v>5</v>
      </c>
      <c r="L40" s="1143"/>
      <c r="M40" s="1134"/>
      <c r="N40" s="1134"/>
      <c r="O40" s="1134"/>
      <c r="P40" s="3304"/>
      <c r="Q40" s="1813" t="str">
        <f t="shared" si="11"/>
        <v>房型</v>
      </c>
      <c r="R40" s="774" t="s">
        <v>21</v>
      </c>
      <c r="S40" s="775">
        <f t="shared" si="12"/>
        <v>100</v>
      </c>
      <c r="T40" s="774" t="s">
        <v>21</v>
      </c>
      <c r="U40" s="775">
        <f t="shared" si="13"/>
        <v>100</v>
      </c>
      <c r="V40" s="774" t="s">
        <v>21</v>
      </c>
      <c r="W40" s="775">
        <f t="shared" si="14"/>
        <v>100</v>
      </c>
      <c r="X40" s="1816"/>
      <c r="Y40" s="3243"/>
      <c r="Z40" s="1817" t="str">
        <f t="shared" si="18"/>
        <v>房型</v>
      </c>
      <c r="AA40" s="1814">
        <f t="shared" si="15"/>
        <v>1</v>
      </c>
      <c r="AB40" s="1814">
        <f t="shared" si="16"/>
        <v>1</v>
      </c>
      <c r="AC40" s="1814">
        <f t="shared" si="17"/>
        <v>1</v>
      </c>
    </row>
    <row r="41" spans="1:29" s="471" customFormat="1" ht="28.5" hidden="1">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304"/>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4">
        <f t="shared" si="15"/>
        <v>1</v>
      </c>
      <c r="AB41" s="1814">
        <f t="shared" si="16"/>
        <v>1</v>
      </c>
      <c r="AC41" s="1814">
        <f t="shared" si="17"/>
        <v>1</v>
      </c>
    </row>
    <row r="42" spans="1:29" ht="15.75" thickBot="1">
      <c r="A42" s="472"/>
      <c r="B42" s="422" t="s">
        <v>2571</v>
      </c>
      <c r="C42" s="2614" t="s">
        <v>3276</v>
      </c>
      <c r="D42" s="435">
        <v>100</v>
      </c>
      <c r="E42" s="2615" t="s">
        <v>3276</v>
      </c>
      <c r="F42" s="461">
        <f>SUMIF(122:122,E42,123:123)-SUMIF(122:122,C42,123:123)+100</f>
        <v>100</v>
      </c>
      <c r="G42" s="2614" t="s">
        <v>3276</v>
      </c>
      <c r="H42" s="435">
        <f>SUMIF(122:122,G42,123:123)-SUMIF(122:122,C42,123:123)+100</f>
        <v>100</v>
      </c>
      <c r="I42" s="2615" t="s">
        <v>3276</v>
      </c>
      <c r="J42" s="435">
        <f>SUMIF(122:122,I42,123:123)-SUMIF(122:122,C42,123:123)+100</f>
        <v>100</v>
      </c>
      <c r="K42" s="426">
        <v>2</v>
      </c>
      <c r="L42" s="1143"/>
      <c r="M42" s="1134"/>
      <c r="N42" s="1134"/>
      <c r="O42" s="1134"/>
      <c r="P42" s="3304"/>
      <c r="Q42" s="1813" t="str">
        <f t="shared" si="11"/>
        <v>内部装修</v>
      </c>
      <c r="R42" s="774" t="s">
        <v>21</v>
      </c>
      <c r="S42" s="775">
        <f t="shared" si="12"/>
        <v>100</v>
      </c>
      <c r="T42" s="774" t="s">
        <v>21</v>
      </c>
      <c r="U42" s="775">
        <f t="shared" si="13"/>
        <v>100</v>
      </c>
      <c r="V42" s="774" t="s">
        <v>21</v>
      </c>
      <c r="W42" s="775">
        <f t="shared" si="14"/>
        <v>100</v>
      </c>
      <c r="X42" s="1816"/>
      <c r="Y42" s="3243"/>
      <c r="Z42" s="1817" t="str">
        <f t="shared" si="18"/>
        <v>内部装修</v>
      </c>
      <c r="AA42" s="1814">
        <f t="shared" si="15"/>
        <v>1</v>
      </c>
      <c r="AB42" s="1814">
        <f t="shared" si="16"/>
        <v>1</v>
      </c>
      <c r="AC42" s="1814">
        <f t="shared" si="17"/>
        <v>1</v>
      </c>
    </row>
    <row r="43" spans="1:29" ht="15" hidden="1">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304"/>
      <c r="Q43" s="1813" t="str">
        <f t="shared" si="11"/>
        <v>内部装修维护情况</v>
      </c>
      <c r="R43" s="774" t="s">
        <v>21</v>
      </c>
      <c r="S43" s="775">
        <f t="shared" si="12"/>
        <v>100</v>
      </c>
      <c r="T43" s="774" t="s">
        <v>21</v>
      </c>
      <c r="U43" s="775">
        <f t="shared" si="13"/>
        <v>100</v>
      </c>
      <c r="V43" s="774" t="s">
        <v>21</v>
      </c>
      <c r="W43" s="775">
        <f t="shared" si="14"/>
        <v>100</v>
      </c>
      <c r="X43" s="1816"/>
      <c r="Y43" s="3243"/>
      <c r="Z43" s="1817" t="str">
        <f t="shared" si="18"/>
        <v>内部装修维护情况</v>
      </c>
      <c r="AA43" s="1814">
        <f t="shared" si="15"/>
        <v>1</v>
      </c>
      <c r="AB43" s="1814">
        <f t="shared" si="16"/>
        <v>1</v>
      </c>
      <c r="AC43" s="1814">
        <f t="shared" si="17"/>
        <v>1</v>
      </c>
    </row>
    <row r="44" spans="1:29" s="117" customFormat="1" ht="15" hidden="1">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304"/>
      <c r="Q44" s="1798">
        <f t="shared" si="11"/>
        <v>0</v>
      </c>
      <c r="R44" s="770" t="s">
        <v>21</v>
      </c>
      <c r="S44" s="771">
        <f t="shared" si="12"/>
        <v>100</v>
      </c>
      <c r="T44" s="770" t="s">
        <v>21</v>
      </c>
      <c r="U44" s="771">
        <f t="shared" si="13"/>
        <v>100</v>
      </c>
      <c r="V44" s="770" t="s">
        <v>21</v>
      </c>
      <c r="W44" s="771">
        <f t="shared" si="14"/>
        <v>100</v>
      </c>
      <c r="X44" s="772"/>
      <c r="Y44" s="3243"/>
      <c r="Z44" s="55">
        <f t="shared" si="18"/>
        <v>0</v>
      </c>
      <c r="AA44" s="773">
        <f t="shared" si="15"/>
        <v>1</v>
      </c>
      <c r="AB44" s="773">
        <f t="shared" si="16"/>
        <v>1</v>
      </c>
      <c r="AC44" s="773">
        <f t="shared" si="17"/>
        <v>1</v>
      </c>
    </row>
    <row r="45" spans="1:29" ht="15" hidden="1">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304"/>
      <c r="Q45" s="1813">
        <f t="shared" si="11"/>
        <v>0</v>
      </c>
      <c r="R45" s="774" t="s">
        <v>21</v>
      </c>
      <c r="S45" s="775">
        <f t="shared" si="12"/>
        <v>100</v>
      </c>
      <c r="T45" s="774" t="s">
        <v>21</v>
      </c>
      <c r="U45" s="775">
        <f t="shared" si="13"/>
        <v>100</v>
      </c>
      <c r="V45" s="774" t="s">
        <v>21</v>
      </c>
      <c r="W45" s="775">
        <f t="shared" si="14"/>
        <v>100</v>
      </c>
      <c r="X45" s="1816"/>
      <c r="Y45" s="3243"/>
      <c r="Z45" s="1817">
        <f t="shared" si="18"/>
        <v>0</v>
      </c>
      <c r="AA45" s="1814">
        <f t="shared" si="15"/>
        <v>1</v>
      </c>
      <c r="AB45" s="1814">
        <f t="shared" si="16"/>
        <v>1</v>
      </c>
      <c r="AC45" s="1814">
        <f t="shared" si="17"/>
        <v>1</v>
      </c>
    </row>
    <row r="46" spans="1:29" ht="15.75" hidden="1"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305"/>
      <c r="Q46" s="1813">
        <f t="shared" si="11"/>
        <v>0</v>
      </c>
      <c r="R46" s="774" t="s">
        <v>20</v>
      </c>
      <c r="S46" s="775">
        <f t="shared" si="12"/>
        <v>100</v>
      </c>
      <c r="T46" s="774" t="s">
        <v>20</v>
      </c>
      <c r="U46" s="775">
        <f t="shared" si="13"/>
        <v>100</v>
      </c>
      <c r="V46" s="774" t="s">
        <v>20</v>
      </c>
      <c r="W46" s="775">
        <f t="shared" si="14"/>
        <v>100</v>
      </c>
      <c r="X46" s="1816"/>
      <c r="Y46" s="3306"/>
      <c r="Z46" s="1817">
        <f t="shared" si="18"/>
        <v>0</v>
      </c>
      <c r="AA46" s="1814">
        <f t="shared" si="15"/>
        <v>1</v>
      </c>
      <c r="AB46" s="1814">
        <f t="shared" si="16"/>
        <v>1</v>
      </c>
      <c r="AC46" s="1814">
        <f t="shared" si="17"/>
        <v>1</v>
      </c>
    </row>
    <row r="47" spans="1:29" ht="15">
      <c r="A47" s="479" t="s">
        <v>2573</v>
      </c>
      <c r="B47" s="480"/>
      <c r="C47" s="1410" t="s">
        <v>19</v>
      </c>
      <c r="D47" s="1411"/>
      <c r="E47" s="1412">
        <v>16500</v>
      </c>
      <c r="F47" s="1413"/>
      <c r="G47" s="1414">
        <v>16000</v>
      </c>
      <c r="H47" s="1415"/>
      <c r="I47" s="1412">
        <v>15000</v>
      </c>
      <c r="J47" s="1415"/>
      <c r="K47" s="2622"/>
      <c r="L47" s="1146"/>
      <c r="M47" s="1147"/>
      <c r="N47" s="1134"/>
      <c r="O47" s="1147"/>
      <c r="P47" s="3238" t="str">
        <f>A47</f>
        <v>成交单价（元/平方米）</v>
      </c>
      <c r="Q47" s="3238"/>
      <c r="R47" s="3302">
        <f>E47</f>
        <v>16500</v>
      </c>
      <c r="S47" s="3302"/>
      <c r="T47" s="3302">
        <f>G47</f>
        <v>16000</v>
      </c>
      <c r="U47" s="3302"/>
      <c r="V47" s="3302">
        <f>I47</f>
        <v>15000</v>
      </c>
      <c r="W47" s="3302"/>
      <c r="X47" s="759"/>
      <c r="Y47" s="781"/>
      <c r="Z47" s="759"/>
      <c r="AA47" s="759"/>
      <c r="AB47" s="759"/>
      <c r="AC47" s="759"/>
    </row>
    <row r="48" spans="1:29" ht="15.75" thickBot="1">
      <c r="A48" s="486" t="s">
        <v>2574</v>
      </c>
      <c r="B48" s="487"/>
      <c r="C48" s="1416">
        <f>R49</f>
        <v>16974</v>
      </c>
      <c r="D48" s="1417"/>
      <c r="E48" s="1418">
        <f>R48</f>
        <v>16396</v>
      </c>
      <c r="F48" s="1418"/>
      <c r="G48" s="1416">
        <f>T48</f>
        <v>17746</v>
      </c>
      <c r="H48" s="1417"/>
      <c r="I48" s="1418">
        <f>V48</f>
        <v>16779</v>
      </c>
      <c r="J48" s="1417"/>
      <c r="K48" s="2623"/>
      <c r="L48" s="1146"/>
      <c r="M48" s="1147"/>
      <c r="N48" s="1147"/>
      <c r="O48" s="1147"/>
      <c r="P48" s="3238" t="str">
        <f>A48</f>
        <v>比较价值（元/平方米）</v>
      </c>
      <c r="Q48" s="3238"/>
      <c r="R48" s="3302">
        <f>IF(F1="售价",ROUND(PRODUCT(R47,AA7:AA46),0),ROUND(PRODUCT(R47,AA7:AA46),1))</f>
        <v>16396</v>
      </c>
      <c r="S48" s="3302"/>
      <c r="T48" s="3302">
        <f>IF(F1="售价",ROUND(PRODUCT(T47,AB7:AB46),0),ROUND(PRODUCT(T47,AB7:AB46),1))</f>
        <v>17746</v>
      </c>
      <c r="U48" s="3302"/>
      <c r="V48" s="3302">
        <f>IF(F1="售价",ROUND(PRODUCT(V47,AC7:AC46),0),ROUND(PRODUCT(V47,AC7:AC46),1))</f>
        <v>16779</v>
      </c>
      <c r="W48" s="3302"/>
      <c r="X48" s="759"/>
      <c r="Y48" s="759"/>
      <c r="Z48" s="759"/>
      <c r="AA48" s="759"/>
      <c r="AB48" s="759"/>
      <c r="AC48" s="759"/>
    </row>
    <row r="49" spans="1:29" ht="15.75" thickBot="1">
      <c r="A49" s="492" t="s">
        <v>2575</v>
      </c>
      <c r="B49" s="493"/>
      <c r="C49" s="1419">
        <f>R49</f>
        <v>16974</v>
      </c>
      <c r="D49" s="1420"/>
      <c r="E49" s="1420"/>
      <c r="F49" s="1420"/>
      <c r="G49" s="1420"/>
      <c r="H49" s="1420"/>
      <c r="I49" s="1420"/>
      <c r="J49" s="1420"/>
      <c r="K49" s="2624"/>
      <c r="L49" s="1146"/>
      <c r="M49" s="1147"/>
      <c r="N49" s="1147"/>
      <c r="O49" s="1147"/>
      <c r="P49" s="3232" t="str">
        <f>A49</f>
        <v>估价对象XX用房的比较价值（楼面单价，元/平方米）</v>
      </c>
      <c r="Q49" s="3233"/>
      <c r="R49" s="3301">
        <f>IF(F1="售价",ROUND(AVERAGE(R48:V48),0),ROUND(AVERAGE(R48:V48),1))</f>
        <v>16974</v>
      </c>
      <c r="S49" s="3301"/>
      <c r="T49" s="3301"/>
      <c r="U49" s="3301"/>
      <c r="V49" s="3301"/>
      <c r="W49" s="33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6.3430104903634543E-3</v>
      </c>
      <c r="F52" s="500" t="str">
        <f>IF(OR(E52&gt;=0.3,E52&lt;=-0.3),"超过30%","")</f>
        <v/>
      </c>
      <c r="G52" s="499">
        <f>IF(G47&lt;G48,G48/G47-1,G47/G48-1)</f>
        <v>0.10912499999999992</v>
      </c>
      <c r="H52" s="500" t="str">
        <f>IF(OR(G52&gt;=0.3,G52&lt;=-0.3),"超过30%","")</f>
        <v/>
      </c>
      <c r="I52" s="499">
        <f>IF(I47&lt;I48,I48/I47-1,I47/I48-1)</f>
        <v>0.11860000000000004</v>
      </c>
      <c r="J52" s="500" t="str">
        <f>IF(OR(I52&gt;=0.3,I52&lt;=-0.3),"超过30%","")</f>
        <v/>
      </c>
      <c r="K52" s="1108"/>
      <c r="L52" s="1109"/>
      <c r="M52" s="1147"/>
      <c r="N52" s="1147"/>
      <c r="O52" s="1147"/>
    </row>
    <row r="53" spans="1:29" ht="13.5" customHeight="1">
      <c r="A53" s="1147"/>
      <c r="B53" s="1147"/>
      <c r="C53" s="497" t="s">
        <v>2577</v>
      </c>
      <c r="D53" s="501"/>
      <c r="E53" s="499">
        <f>IF(E48&lt;G48,G48/E48-1,E48/G48-1)</f>
        <v>8.2337155403757079E-2</v>
      </c>
      <c r="F53" s="500" t="str">
        <f>IF(OR(E53&gt;=0.2,E53&lt;=-0.2),"超过20%","")</f>
        <v/>
      </c>
      <c r="G53" s="499">
        <f>IF(G48&lt;I48,I48/G48-1,G48/I48-1)</f>
        <v>5.7631563263603303E-2</v>
      </c>
      <c r="H53" s="500" t="str">
        <f>IF(OR(G53&gt;=0.2,G53&lt;=-0.2),"超过20%","")</f>
        <v/>
      </c>
      <c r="I53" s="499">
        <f>IF(I48&lt;E48,E48/I48-1,I48/E48-1)</f>
        <v>2.3359355940473225E-2</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3.125E-2</v>
      </c>
      <c r="F54" s="500" t="str">
        <f>IF(OR(E54&gt;=0.3,E54&lt;=-0.3),"超过30%","")</f>
        <v/>
      </c>
      <c r="G54" s="499">
        <f>IF(G47&lt;I47,I47/G47-1,G47/I47-1)</f>
        <v>6.6666666666666652E-2</v>
      </c>
      <c r="H54" s="500" t="str">
        <f>IF(OR(G54&gt;=0.3,G54&lt;=-0.3),"超过30%","")</f>
        <v/>
      </c>
      <c r="I54" s="499">
        <f>IF(I47&lt;E47,E47/I47-1,I47/E47-1)</f>
        <v>0.10000000000000009</v>
      </c>
      <c r="J54" s="500" t="str">
        <f>IF(OR(I54&gt;=0.3,I54&lt;=-0.3),"超过30%","")</f>
        <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7"/>
      <c r="Q57" s="504"/>
    </row>
    <row r="58" spans="1:29" s="508" customFormat="1" ht="15">
      <c r="A58" s="505" t="s">
        <v>2580</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8"/>
      <c r="C59" s="1576">
        <v>100</v>
      </c>
      <c r="D59" s="511">
        <v>100</v>
      </c>
      <c r="E59" s="512">
        <v>100</v>
      </c>
      <c r="F59" s="512">
        <v>100</v>
      </c>
      <c r="G59" s="512">
        <v>99</v>
      </c>
      <c r="H59" s="512">
        <v>99</v>
      </c>
      <c r="I59" s="512">
        <v>97</v>
      </c>
      <c r="J59" s="512">
        <v>96.5</v>
      </c>
      <c r="K59" s="512">
        <v>96</v>
      </c>
      <c r="L59" s="512">
        <v>95.5</v>
      </c>
      <c r="M59" s="513">
        <v>95</v>
      </c>
      <c r="N59" s="512">
        <v>94.5</v>
      </c>
      <c r="O59" s="513">
        <v>94</v>
      </c>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t="str">
        <f>C9</f>
        <v>商住</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1"/>
      <c r="Q66" s="504"/>
    </row>
    <row r="67" spans="1:17" ht="15.75" thickTop="1">
      <c r="A67" s="534"/>
      <c r="B67" s="546" t="s">
        <v>2554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v>0</v>
      </c>
      <c r="D68" s="549">
        <v>1</v>
      </c>
      <c r="E68" s="549">
        <v>2</v>
      </c>
      <c r="F68" s="549">
        <v>3</v>
      </c>
      <c r="G68" s="549">
        <v>4</v>
      </c>
      <c r="H68" s="549"/>
      <c r="I68" s="549"/>
      <c r="J68" s="549"/>
      <c r="K68" s="550"/>
      <c r="L68" s="551"/>
      <c r="M68" s="552"/>
      <c r="N68" s="1155"/>
      <c r="O68" s="1155"/>
      <c r="P68" s="2631"/>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96</v>
      </c>
      <c r="E81" s="544">
        <f>D81-$K19</f>
        <v>92</v>
      </c>
      <c r="F81" s="544">
        <f>E81-$K19</f>
        <v>88</v>
      </c>
      <c r="G81" s="544">
        <f>F81-$K19</f>
        <v>84</v>
      </c>
      <c r="H81" s="544"/>
      <c r="I81" s="544"/>
      <c r="J81" s="544"/>
      <c r="K81" s="544"/>
      <c r="L81" s="544"/>
      <c r="M81" s="545"/>
      <c r="N81" s="1156"/>
      <c r="O81" s="1156"/>
      <c r="P81" s="2631"/>
      <c r="Q81" s="504"/>
    </row>
    <row r="82" spans="1:17" ht="15.75" thickTop="1">
      <c r="A82" s="534"/>
      <c r="B82" s="546" t="s">
        <v>2098</v>
      </c>
      <c r="C82" s="539" t="s">
        <v>2600</v>
      </c>
      <c r="D82" s="539" t="s">
        <v>2601</v>
      </c>
      <c r="E82" s="539" t="s">
        <v>2602</v>
      </c>
      <c r="F82" s="539" t="s">
        <v>2603</v>
      </c>
      <c r="G82" s="539" t="s">
        <v>2604</v>
      </c>
      <c r="H82" s="539"/>
      <c r="I82" s="539"/>
      <c r="J82" s="539"/>
      <c r="K82" s="539"/>
      <c r="L82" s="539"/>
      <c r="M82" s="1385"/>
      <c r="N82" s="1156"/>
      <c r="O82" s="1156"/>
      <c r="P82" s="2631"/>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96</v>
      </c>
      <c r="E85" s="544">
        <f>D85-$K23</f>
        <v>92</v>
      </c>
      <c r="F85" s="544">
        <f>E85-$K23</f>
        <v>88</v>
      </c>
      <c r="G85" s="544">
        <f>F85-$K23</f>
        <v>84</v>
      </c>
      <c r="H85" s="544"/>
      <c r="I85" s="544"/>
      <c r="J85" s="544"/>
      <c r="K85" s="544"/>
      <c r="L85" s="544"/>
      <c r="M85" s="545"/>
      <c r="N85" s="1156"/>
      <c r="O85" s="1156"/>
      <c r="P85" s="2631"/>
      <c r="Q85" s="504"/>
    </row>
    <row r="86" spans="1:17" s="117" customFormat="1" ht="15.75" thickTop="1">
      <c r="A86" s="579"/>
      <c r="B86" s="538" t="s">
        <v>2606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2607</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t="str">
        <f>B27</f>
        <v>道路级别</v>
      </c>
      <c r="C90" s="554" t="s">
        <v>3281</v>
      </c>
      <c r="D90" s="554" t="s">
        <v>3282</v>
      </c>
      <c r="E90" s="554" t="s">
        <v>3269</v>
      </c>
      <c r="F90" s="554" t="s">
        <v>3283</v>
      </c>
      <c r="G90" s="554" t="s">
        <v>3284</v>
      </c>
      <c r="H90" s="555"/>
      <c r="I90" s="555"/>
      <c r="J90" s="555"/>
      <c r="K90" s="555"/>
      <c r="L90" s="556"/>
      <c r="M90" s="557"/>
      <c r="N90" s="1157"/>
      <c r="O90" s="1157"/>
      <c r="P90" s="2632"/>
      <c r="Q90" s="559"/>
    </row>
    <row r="91" spans="1:17" s="471" customFormat="1" ht="15.75" thickBot="1">
      <c r="A91" s="553"/>
      <c r="B91" s="543"/>
      <c r="C91" s="560">
        <v>100</v>
      </c>
      <c r="D91" s="560">
        <v>99</v>
      </c>
      <c r="E91" s="560">
        <v>98</v>
      </c>
      <c r="F91" s="560">
        <v>97</v>
      </c>
      <c r="G91" s="560">
        <v>96</v>
      </c>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2559</v>
      </c>
      <c r="B100" s="528" t="s">
        <v>2608</v>
      </c>
      <c r="C100" s="530" t="s">
        <v>3270</v>
      </c>
      <c r="D100" s="530" t="s">
        <v>3285</v>
      </c>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85</v>
      </c>
      <c r="E101" s="544">
        <f t="shared" si="26"/>
        <v>70</v>
      </c>
      <c r="F101" s="544">
        <f t="shared" si="26"/>
        <v>55</v>
      </c>
      <c r="G101" s="544">
        <f t="shared" si="26"/>
        <v>40</v>
      </c>
      <c r="H101" s="544">
        <f t="shared" si="26"/>
        <v>25</v>
      </c>
      <c r="I101" s="544">
        <f t="shared" si="26"/>
        <v>10</v>
      </c>
      <c r="J101" s="544">
        <f t="shared" si="26"/>
        <v>-5</v>
      </c>
      <c r="K101" s="544">
        <f t="shared" si="26"/>
        <v>-20</v>
      </c>
      <c r="L101" s="544">
        <f t="shared" si="26"/>
        <v>-35</v>
      </c>
      <c r="M101" s="544">
        <f t="shared" si="26"/>
        <v>-50</v>
      </c>
      <c r="N101" s="1156"/>
      <c r="O101" s="1156"/>
      <c r="P101" s="2631"/>
      <c r="Q101" s="504"/>
    </row>
    <row r="102" spans="1:17" ht="29.25" thickTop="1">
      <c r="A102" s="534"/>
      <c r="B102" s="538" t="s">
        <v>2609</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v>0</v>
      </c>
      <c r="D103" s="595">
        <v>50000</v>
      </c>
      <c r="E103" s="595">
        <v>100000</v>
      </c>
      <c r="F103" s="595">
        <v>150000</v>
      </c>
      <c r="G103" s="595">
        <v>200000</v>
      </c>
      <c r="H103" s="595">
        <v>250000</v>
      </c>
      <c r="I103" s="595">
        <v>300000</v>
      </c>
      <c r="J103" s="596"/>
      <c r="K103" s="596"/>
      <c r="L103" s="597"/>
      <c r="M103" s="598"/>
      <c r="N103" s="1157"/>
      <c r="O103" s="1157"/>
      <c r="P103" s="2632"/>
      <c r="Q103" s="559"/>
    </row>
    <row r="104" spans="1:17" s="471" customFormat="1" ht="15.75" thickBot="1">
      <c r="A104" s="553"/>
      <c r="B104" s="543"/>
      <c r="C104" s="560">
        <v>100</v>
      </c>
      <c r="D104" s="536">
        <v>102</v>
      </c>
      <c r="E104" s="536">
        <v>104</v>
      </c>
      <c r="F104" s="536">
        <v>106</v>
      </c>
      <c r="G104" s="536">
        <v>108</v>
      </c>
      <c r="H104" s="536">
        <v>110</v>
      </c>
      <c r="I104" s="536">
        <v>112</v>
      </c>
      <c r="J104" s="536"/>
      <c r="K104" s="536"/>
      <c r="L104" s="536"/>
      <c r="M104" s="536"/>
      <c r="N104" s="1156"/>
      <c r="O104" s="1156"/>
      <c r="P104" s="2632"/>
      <c r="Q104" s="559"/>
    </row>
    <row r="105" spans="1:17" ht="15" thickTop="1">
      <c r="A105" s="599"/>
      <c r="B105" s="538" t="s">
        <v>2610</v>
      </c>
      <c r="C105" s="554" t="s">
        <v>3271</v>
      </c>
      <c r="D105" s="583" t="s">
        <v>3286</v>
      </c>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1"/>
      <c r="Q106" s="504"/>
    </row>
    <row r="107" spans="1:17" ht="15" thickTop="1">
      <c r="A107" s="599"/>
      <c r="B107" s="538" t="s">
        <v>2611</v>
      </c>
      <c r="C107" s="583" t="s">
        <v>3287</v>
      </c>
      <c r="D107" s="583" t="s">
        <v>3272</v>
      </c>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1"/>
      <c r="Q108" s="504"/>
    </row>
    <row r="109" spans="1:17" ht="15" thickTop="1">
      <c r="A109" s="599"/>
      <c r="B109" s="538" t="s">
        <v>2612</v>
      </c>
      <c r="C109" s="554" t="s">
        <v>3288</v>
      </c>
      <c r="D109" s="554" t="s">
        <v>3273</v>
      </c>
      <c r="E109" s="554" t="s">
        <v>3289</v>
      </c>
      <c r="F109" s="583" t="s">
        <v>3276</v>
      </c>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2"/>
      <c r="Q113" s="559"/>
    </row>
    <row r="114" spans="1:17" ht="15" thickTop="1">
      <c r="A114" s="599"/>
      <c r="B114" s="538" t="s">
        <v>2613</v>
      </c>
      <c r="C114" s="554" t="s">
        <v>3274</v>
      </c>
      <c r="D114" s="554" t="s">
        <v>3290</v>
      </c>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4">
        <f t="shared" si="31"/>
        <v>70</v>
      </c>
      <c r="N115" s="1156"/>
      <c r="O115" s="1156"/>
      <c r="P115" s="2631"/>
      <c r="Q115" s="504"/>
    </row>
    <row r="116" spans="1:17" ht="15" thickTop="1">
      <c r="A116" s="599"/>
      <c r="B116" s="538" t="s">
        <v>2614</v>
      </c>
      <c r="C116" s="554" t="s">
        <v>3267</v>
      </c>
      <c r="D116" s="554" t="s">
        <v>3291</v>
      </c>
      <c r="E116" s="554" t="s">
        <v>3292</v>
      </c>
      <c r="F116" s="554" t="s">
        <v>3293</v>
      </c>
      <c r="G116" s="554" t="s">
        <v>3294</v>
      </c>
      <c r="H116" s="583"/>
      <c r="I116" s="583"/>
      <c r="J116" s="583"/>
      <c r="K116" s="584"/>
      <c r="L116" s="585"/>
      <c r="M116" s="586"/>
      <c r="N116" s="1155"/>
      <c r="O116" s="1155"/>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1"/>
      <c r="Q117" s="504"/>
    </row>
    <row r="118" spans="1:17" ht="15" thickTop="1">
      <c r="A118" s="599"/>
      <c r="B118" s="538" t="s">
        <v>2615</v>
      </c>
      <c r="C118" s="583" t="s">
        <v>3295</v>
      </c>
      <c r="D118" s="583" t="s">
        <v>3275</v>
      </c>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6"/>
      <c r="O119" s="1156"/>
      <c r="P119" s="2631"/>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2616</v>
      </c>
      <c r="C122" s="554" t="s">
        <v>3288</v>
      </c>
      <c r="D122" s="554" t="s">
        <v>3273</v>
      </c>
      <c r="E122" s="554" t="s">
        <v>3289</v>
      </c>
      <c r="F122" s="583" t="s">
        <v>3276</v>
      </c>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0</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0</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7">
        <v>6</v>
      </c>
      <c r="C139" s="1088">
        <v>96</v>
      </c>
      <c r="D139" s="2649" t="s">
        <v>2627</v>
      </c>
      <c r="E139" s="1089">
        <v>100</v>
      </c>
      <c r="F139" s="1090">
        <v>102.5</v>
      </c>
      <c r="G139" s="2649" t="s">
        <v>2627</v>
      </c>
      <c r="H139" s="1091">
        <v>105</v>
      </c>
      <c r="I139" s="2650" t="s">
        <v>2628</v>
      </c>
      <c r="J139" s="1088">
        <v>20</v>
      </c>
      <c r="K139" s="1092">
        <f>C145/(J139-2)</f>
        <v>4.0555555555555553E-3</v>
      </c>
    </row>
    <row r="140" spans="1:17" ht="15">
      <c r="B140" s="1093">
        <v>5</v>
      </c>
      <c r="C140" s="1094">
        <v>100</v>
      </c>
      <c r="D140" s="1094"/>
      <c r="E140" s="1095"/>
      <c r="F140" s="1096">
        <v>102</v>
      </c>
      <c r="G140" s="1094"/>
      <c r="H140" s="1097"/>
      <c r="I140" s="2651" t="s">
        <v>2629</v>
      </c>
      <c r="J140" s="315">
        <f>ROUNDUP((J139-1)/2,0)</f>
        <v>10</v>
      </c>
      <c r="K140" s="1098">
        <v>100</v>
      </c>
    </row>
    <row r="141" spans="1:17" ht="15">
      <c r="B141" s="1093">
        <v>4</v>
      </c>
      <c r="C141" s="1094">
        <v>102</v>
      </c>
      <c r="D141" s="1094"/>
      <c r="E141" s="1095"/>
      <c r="F141" s="1096">
        <v>101.5</v>
      </c>
      <c r="G141" s="1094"/>
      <c r="H141" s="1097"/>
      <c r="I141" s="2651" t="s">
        <v>2630</v>
      </c>
      <c r="J141" s="315">
        <v>1</v>
      </c>
      <c r="K141" s="1099">
        <f>ROUND(100+(J141-J140)*K139*100,1)</f>
        <v>96.4</v>
      </c>
    </row>
    <row r="142" spans="1:17" ht="15">
      <c r="B142" s="1093">
        <v>3</v>
      </c>
      <c r="C142" s="1094">
        <v>103</v>
      </c>
      <c r="D142" s="1094"/>
      <c r="E142" s="1095"/>
      <c r="F142" s="1096">
        <v>101</v>
      </c>
      <c r="G142" s="1094"/>
      <c r="H142" s="1097"/>
      <c r="I142" s="2651" t="s">
        <v>2631</v>
      </c>
      <c r="J142" s="315">
        <f>J139</f>
        <v>20</v>
      </c>
      <c r="K142" s="1100">
        <v>95</v>
      </c>
    </row>
    <row r="143" spans="1:17" ht="15">
      <c r="B143" s="1093">
        <v>2</v>
      </c>
      <c r="C143" s="1094">
        <v>100</v>
      </c>
      <c r="D143" s="1094"/>
      <c r="E143" s="1095"/>
      <c r="F143" s="1096">
        <v>100.5</v>
      </c>
      <c r="G143" s="1094"/>
      <c r="H143" s="1097"/>
      <c r="I143" s="2651" t="s">
        <v>2632</v>
      </c>
      <c r="J143" s="1094">
        <v>15</v>
      </c>
      <c r="K143" s="1099">
        <f>ROUND(100+(J143-J140)*K139*100,1)</f>
        <v>102</v>
      </c>
    </row>
    <row r="144" spans="1:17" ht="15">
      <c r="B144" s="1093">
        <v>1</v>
      </c>
      <c r="C144" s="1094">
        <v>98</v>
      </c>
      <c r="D144" s="2652" t="s">
        <v>2633</v>
      </c>
      <c r="E144" s="1095">
        <v>102</v>
      </c>
      <c r="F144" s="1101">
        <v>100</v>
      </c>
      <c r="G144" s="2652" t="s">
        <v>2633</v>
      </c>
      <c r="H144" s="1097">
        <v>105</v>
      </c>
      <c r="I144" s="2651" t="s">
        <v>2632</v>
      </c>
      <c r="J144" s="1094">
        <v>18</v>
      </c>
      <c r="K144" s="1099">
        <f>ROUND(100+(J144-J140)*K139*100,1)</f>
        <v>103.2</v>
      </c>
    </row>
    <row r="145" spans="2:11" ht="15.75" thickBot="1">
      <c r="B145" s="2653" t="s">
        <v>2634</v>
      </c>
      <c r="C145" s="1102">
        <f>ROUND(MAX(C139:C144)/MIN(C139:C144)-1,3)</f>
        <v>7.2999999999999995E-2</v>
      </c>
      <c r="D145" s="1103"/>
      <c r="E145" s="1103"/>
      <c r="F145" s="2654" t="s">
        <v>2635</v>
      </c>
      <c r="G145" s="2655"/>
      <c r="H145" s="2656"/>
      <c r="I145" s="2657" t="s">
        <v>2632</v>
      </c>
      <c r="J145" s="1104">
        <v>8</v>
      </c>
      <c r="K145" s="1105">
        <f>ROUND(100+(J145-J140)*K139*100,1)</f>
        <v>99.2</v>
      </c>
    </row>
    <row r="147" spans="2:11">
      <c r="B147" s="2638" t="s">
        <v>2636</v>
      </c>
    </row>
    <row r="148" spans="2:11">
      <c r="B148" s="263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河南恒祥实业有限公司：</v>
      </c>
    </row>
    <row r="4" spans="1:1" ht="36">
      <c r="A4" s="195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河南恒祥实业有限公司所有。根据《国有土地使用证》[京顺国用（2015出）第00113号]，估价对象（分摊）出让国有建设用地使用权面积为7681.84平方米，建筑面积为44886.34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属河南恒祥实业有限公司开发建设的居住项目，该项目尚在开发建设中。根据《国有土地使用证》[京顺国用（2015出）第00113号]，估价对象（分摊）出让国有建设用地使用权面积为7681.84平方米，规划建筑面积为44886.34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商业，土地取得方式为出让，出让国有建设用地使用权剩余土地使用年限为38.06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上水、通下水、通讯）、红线内场地平整条件下，剩余土地使用年限为38.06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3" t="s">
        <v>2638</v>
      </c>
      <c r="C1" s="1637" t="s">
        <v>2526</v>
      </c>
      <c r="D1" s="1624"/>
      <c r="E1" s="2658"/>
      <c r="F1" s="2585"/>
      <c r="G1" s="1634" t="s">
        <v>2639</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2326</v>
      </c>
      <c r="B2" s="1421" t="e">
        <f ca="1">IF(C2="——",ROUND(C49*D3/10000,0),ROUND(C49*D3/10000,0)-D2)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2328</v>
      </c>
      <c r="B3" s="609" t="e">
        <f ca="1">IF(C2="——",C49,ROUND(B2*10000/D3,0))</f>
        <v>#DIV/0!</v>
      </c>
      <c r="C3" s="400" t="s">
        <v>2640</v>
      </c>
      <c r="D3" s="399">
        <f>IF(D1="",'数据-汇总表'!E3,SUMIF('数据-汇总表'!$C19:$C33,D1,'数据-汇总表'!$E19:$E33))</f>
        <v>44886.34</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2641</v>
      </c>
      <c r="B4" s="402"/>
      <c r="C4" s="3235" t="s">
        <v>2642</v>
      </c>
      <c r="D4" s="3248"/>
      <c r="E4" s="3249" t="s">
        <v>2643</v>
      </c>
      <c r="F4" s="3250"/>
      <c r="G4" s="3235" t="s">
        <v>2644</v>
      </c>
      <c r="H4" s="3248"/>
      <c r="I4" s="3235" t="s">
        <v>2645</v>
      </c>
      <c r="J4" s="3248"/>
      <c r="K4" s="610" t="s">
        <v>2646</v>
      </c>
      <c r="L4" s="1133"/>
      <c r="M4" s="1134"/>
      <c r="N4" s="1134"/>
      <c r="O4" s="1134"/>
      <c r="P4" s="3251" t="s">
        <v>2647</v>
      </c>
      <c r="Q4" s="3252"/>
      <c r="R4" s="3257" t="s">
        <v>2643</v>
      </c>
      <c r="S4" s="3258"/>
      <c r="T4" s="3257" t="s">
        <v>2644</v>
      </c>
      <c r="U4" s="3258"/>
      <c r="V4" s="3244" t="s">
        <v>2645</v>
      </c>
      <c r="W4" s="3244"/>
      <c r="X4" s="1816"/>
      <c r="Y4" s="3257" t="s">
        <v>2647</v>
      </c>
      <c r="Z4" s="3258"/>
      <c r="AA4" s="3245" t="s">
        <v>2643</v>
      </c>
      <c r="AB4" s="3244" t="s">
        <v>2644</v>
      </c>
      <c r="AC4" s="3245" t="s">
        <v>2645</v>
      </c>
    </row>
    <row r="5" spans="1:29" ht="15">
      <c r="A5" s="404"/>
      <c r="B5" s="405"/>
      <c r="C5" s="3270" t="s">
        <v>2538</v>
      </c>
      <c r="D5" s="3266"/>
      <c r="E5" s="3317" t="s">
        <v>2539</v>
      </c>
      <c r="F5" s="3318"/>
      <c r="G5" s="3270" t="s">
        <v>2540</v>
      </c>
      <c r="H5" s="3266"/>
      <c r="I5" s="3270" t="s">
        <v>2541</v>
      </c>
      <c r="J5" s="3266"/>
      <c r="K5" s="610"/>
      <c r="L5" s="1133"/>
      <c r="M5" s="1134"/>
      <c r="N5" s="1134"/>
      <c r="O5" s="1134"/>
      <c r="P5" s="3253"/>
      <c r="Q5" s="3254"/>
      <c r="R5" s="3259"/>
      <c r="S5" s="3260"/>
      <c r="T5" s="3259"/>
      <c r="U5" s="3260"/>
      <c r="V5" s="3244"/>
      <c r="W5" s="3244"/>
      <c r="X5" s="1816"/>
      <c r="Y5" s="3259"/>
      <c r="Z5" s="3260"/>
      <c r="AA5" s="3246"/>
      <c r="AB5" s="3244"/>
      <c r="AC5" s="3246"/>
    </row>
    <row r="6" spans="1:29" ht="15.75" thickBot="1">
      <c r="A6" s="406"/>
      <c r="B6" s="407"/>
      <c r="C6" s="3309" t="s">
        <v>2542</v>
      </c>
      <c r="D6" s="3264"/>
      <c r="E6" s="3313" t="s">
        <v>2542</v>
      </c>
      <c r="F6" s="3314"/>
      <c r="G6" s="3309" t="s">
        <v>2542</v>
      </c>
      <c r="H6" s="3264"/>
      <c r="I6" s="3309" t="s">
        <v>2542</v>
      </c>
      <c r="J6" s="3264"/>
      <c r="K6" s="610" t="s">
        <v>2543</v>
      </c>
      <c r="L6" s="1133"/>
      <c r="M6" s="1134"/>
      <c r="N6" s="1134"/>
      <c r="O6" s="1134"/>
      <c r="P6" s="3255"/>
      <c r="Q6" s="3256"/>
      <c r="R6" s="3259"/>
      <c r="S6" s="3260"/>
      <c r="T6" s="3261"/>
      <c r="U6" s="3262"/>
      <c r="V6" s="3244"/>
      <c r="W6" s="3244"/>
      <c r="X6" s="1816"/>
      <c r="Y6" s="3261"/>
      <c r="Z6" s="3262"/>
      <c r="AA6" s="3247"/>
      <c r="AB6" s="3244"/>
      <c r="AC6" s="3247"/>
    </row>
    <row r="7" spans="1:29" s="117" customFormat="1" ht="15.75" thickBot="1">
      <c r="A7" s="408" t="s">
        <v>2544</v>
      </c>
      <c r="B7" s="409"/>
      <c r="C7" s="410">
        <f>'数据-取费表'!B2</f>
        <v>43248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7" t="s">
        <v>2545</v>
      </c>
      <c r="Q7" s="3269"/>
      <c r="R7" s="770" t="s">
        <v>17</v>
      </c>
      <c r="S7" s="771">
        <f t="shared" ref="S7:S15" si="0">F7</f>
        <v>0</v>
      </c>
      <c r="T7" s="770" t="s">
        <v>17</v>
      </c>
      <c r="U7" s="771">
        <f t="shared" ref="U7:U15" si="1">H7</f>
        <v>0</v>
      </c>
      <c r="V7" s="770" t="s">
        <v>17</v>
      </c>
      <c r="W7" s="771">
        <f t="shared" ref="W7:W15" si="2">J7</f>
        <v>0</v>
      </c>
      <c r="X7" s="772"/>
      <c r="Y7" s="3267" t="s">
        <v>2545</v>
      </c>
      <c r="Z7" s="326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7" t="s">
        <v>2548</v>
      </c>
      <c r="Q8" s="3268"/>
      <c r="R8" s="770" t="s">
        <v>17</v>
      </c>
      <c r="S8" s="771">
        <f t="shared" si="0"/>
        <v>0</v>
      </c>
      <c r="T8" s="770" t="s">
        <v>17</v>
      </c>
      <c r="U8" s="771">
        <f t="shared" si="1"/>
        <v>0</v>
      </c>
      <c r="V8" s="770" t="s">
        <v>17</v>
      </c>
      <c r="W8" s="771">
        <f t="shared" si="2"/>
        <v>0</v>
      </c>
      <c r="X8" s="772"/>
      <c r="Y8" s="3267" t="s">
        <v>2548</v>
      </c>
      <c r="Z8" s="326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7" t="s">
        <v>2551</v>
      </c>
      <c r="Q9" s="1798" t="str">
        <f t="shared" ref="Q9:Q15" si="6">B9</f>
        <v>用途</v>
      </c>
      <c r="R9" s="770" t="s">
        <v>17</v>
      </c>
      <c r="S9" s="771">
        <f t="shared" si="0"/>
        <v>100</v>
      </c>
      <c r="T9" s="770" t="s">
        <v>17</v>
      </c>
      <c r="U9" s="771">
        <f t="shared" si="1"/>
        <v>100</v>
      </c>
      <c r="V9" s="770" t="s">
        <v>17</v>
      </c>
      <c r="W9" s="771">
        <f t="shared" si="2"/>
        <v>100</v>
      </c>
      <c r="X9" s="772"/>
      <c r="Y9" s="306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7" t="s">
        <v>2556</v>
      </c>
      <c r="Q15" s="1813" t="str">
        <f t="shared" si="6"/>
        <v>商业繁华度</v>
      </c>
      <c r="R15" s="774" t="s">
        <v>17</v>
      </c>
      <c r="S15" s="775">
        <f t="shared" si="0"/>
        <v>100</v>
      </c>
      <c r="T15" s="774" t="s">
        <v>17</v>
      </c>
      <c r="U15" s="775">
        <f t="shared" si="1"/>
        <v>100</v>
      </c>
      <c r="V15" s="774" t="s">
        <v>17</v>
      </c>
      <c r="W15" s="775">
        <f t="shared" si="2"/>
        <v>100</v>
      </c>
      <c r="X15" s="1816"/>
      <c r="Y15" s="3240"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8"/>
      <c r="Q16" s="1813"/>
      <c r="R16" s="774"/>
      <c r="S16" s="775"/>
      <c r="T16" s="774"/>
      <c r="U16" s="775"/>
      <c r="V16" s="774"/>
      <c r="W16" s="775"/>
      <c r="X16" s="1816"/>
      <c r="Y16" s="3241"/>
      <c r="Z16" s="1817"/>
      <c r="AA16" s="1814">
        <v>1</v>
      </c>
      <c r="AB16" s="1814">
        <v>1</v>
      </c>
      <c r="AC16" s="1814">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8"/>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308"/>
      <c r="Q18" s="1813"/>
      <c r="R18" s="774"/>
      <c r="S18" s="775"/>
      <c r="T18" s="774"/>
      <c r="U18" s="775"/>
      <c r="V18" s="774"/>
      <c r="W18" s="775"/>
      <c r="X18" s="1816"/>
      <c r="Y18" s="3241"/>
      <c r="Z18" s="1817"/>
      <c r="AA18" s="1814">
        <v>1</v>
      </c>
      <c r="AB18" s="1814">
        <v>1</v>
      </c>
      <c r="AC18" s="1814">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8"/>
      <c r="Q19" s="1813" t="str">
        <f>B19</f>
        <v>公共配套设施</v>
      </c>
      <c r="R19" s="774" t="s">
        <v>17</v>
      </c>
      <c r="S19" s="775">
        <f>F19</f>
        <v>100</v>
      </c>
      <c r="T19" s="774" t="s">
        <v>17</v>
      </c>
      <c r="U19" s="775">
        <f>H19</f>
        <v>100</v>
      </c>
      <c r="V19" s="774" t="s">
        <v>17</v>
      </c>
      <c r="W19" s="775">
        <f>J19</f>
        <v>100</v>
      </c>
      <c r="X19" s="1816"/>
      <c r="Y19" s="3241"/>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308"/>
      <c r="Q20" s="1813"/>
      <c r="R20" s="774"/>
      <c r="S20" s="775"/>
      <c r="T20" s="774"/>
      <c r="U20" s="775"/>
      <c r="V20" s="774"/>
      <c r="W20" s="775"/>
      <c r="X20" s="1816"/>
      <c r="Y20" s="3241"/>
      <c r="Z20" s="1817"/>
      <c r="AA20" s="1814">
        <v>1</v>
      </c>
      <c r="AB20" s="1814">
        <v>1</v>
      </c>
      <c r="AC20" s="1814">
        <v>1</v>
      </c>
    </row>
    <row r="21" spans="1:29" ht="28.5">
      <c r="A21" s="428"/>
      <c r="B21" s="1387"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8"/>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308"/>
      <c r="Q22" s="1813"/>
      <c r="R22" s="774"/>
      <c r="S22" s="775"/>
      <c r="T22" s="774"/>
      <c r="U22" s="775"/>
      <c r="V22" s="774"/>
      <c r="W22" s="775"/>
      <c r="X22" s="1816"/>
      <c r="Y22" s="3241"/>
      <c r="Z22" s="1817"/>
      <c r="AA22" s="1814">
        <v>1</v>
      </c>
      <c r="AB22" s="1814">
        <v>1</v>
      </c>
      <c r="AC22" s="1814">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8"/>
      <c r="Q23" s="1813" t="str">
        <f>B23</f>
        <v>自然及人文环境</v>
      </c>
      <c r="R23" s="774" t="s">
        <v>17</v>
      </c>
      <c r="S23" s="775">
        <f>F23</f>
        <v>100</v>
      </c>
      <c r="T23" s="774" t="s">
        <v>17</v>
      </c>
      <c r="U23" s="775">
        <f>H23</f>
        <v>100</v>
      </c>
      <c r="V23" s="774" t="s">
        <v>17</v>
      </c>
      <c r="W23" s="775">
        <f>J23</f>
        <v>100</v>
      </c>
      <c r="X23" s="1816"/>
      <c r="Y23" s="3241"/>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308"/>
      <c r="Q24" s="1813"/>
      <c r="R24" s="774"/>
      <c r="S24" s="775"/>
      <c r="T24" s="774"/>
      <c r="U24" s="775"/>
      <c r="V24" s="774"/>
      <c r="W24" s="775"/>
      <c r="X24" s="1816"/>
      <c r="Y24" s="3241"/>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8"/>
      <c r="Q25" s="1813" t="str">
        <f t="shared" ref="Q25:Q46" si="11">B25</f>
        <v>临街状况</v>
      </c>
      <c r="R25" s="774" t="s">
        <v>17</v>
      </c>
      <c r="S25" s="775">
        <f>F25</f>
        <v>100</v>
      </c>
      <c r="T25" s="774" t="s">
        <v>17</v>
      </c>
      <c r="U25" s="775">
        <f>H25</f>
        <v>100</v>
      </c>
      <c r="V25" s="774" t="s">
        <v>17</v>
      </c>
      <c r="W25" s="775">
        <f>J25</f>
        <v>100</v>
      </c>
      <c r="X25" s="1816"/>
      <c r="Y25" s="3241"/>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8"/>
      <c r="Q26" s="1813" t="str">
        <f t="shared" si="11"/>
        <v>平面位置/可视性</v>
      </c>
      <c r="R26" s="774" t="s">
        <v>17</v>
      </c>
      <c r="S26" s="775">
        <f>F26</f>
        <v>100</v>
      </c>
      <c r="T26" s="774" t="s">
        <v>17</v>
      </c>
      <c r="U26" s="775">
        <f>H26</f>
        <v>100</v>
      </c>
      <c r="V26" s="774" t="s">
        <v>17</v>
      </c>
      <c r="W26" s="775">
        <f>J26</f>
        <v>100</v>
      </c>
      <c r="X26" s="1816"/>
      <c r="Y26" s="3241"/>
      <c r="Z26" s="1817" t="str">
        <f>Q26</f>
        <v>平面位置/可视性</v>
      </c>
      <c r="AA26" s="1814">
        <f t="shared" si="3"/>
        <v>1</v>
      </c>
      <c r="AB26" s="1814">
        <f t="shared" si="4"/>
        <v>1</v>
      </c>
      <c r="AC26" s="1814">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308"/>
      <c r="Q27" s="1798" t="str">
        <f t="shared" si="11"/>
        <v>人流量</v>
      </c>
      <c r="R27" s="770" t="s">
        <v>17</v>
      </c>
      <c r="S27" s="771">
        <f>F27</f>
        <v>100</v>
      </c>
      <c r="T27" s="770" t="s">
        <v>17</v>
      </c>
      <c r="U27" s="771">
        <f>H27</f>
        <v>100</v>
      </c>
      <c r="V27" s="770" t="s">
        <v>17</v>
      </c>
      <c r="W27" s="771">
        <f>J27</f>
        <v>100</v>
      </c>
      <c r="X27" s="772"/>
      <c r="Y27" s="3241"/>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8"/>
      <c r="Q29" s="1813">
        <f t="shared" si="11"/>
        <v>111</v>
      </c>
      <c r="R29" s="774" t="s">
        <v>17</v>
      </c>
      <c r="S29" s="775">
        <f t="shared" si="12"/>
        <v>100</v>
      </c>
      <c r="T29" s="774" t="s">
        <v>17</v>
      </c>
      <c r="U29" s="775">
        <f t="shared" si="13"/>
        <v>100</v>
      </c>
      <c r="V29" s="774" t="s">
        <v>17</v>
      </c>
      <c r="W29" s="775">
        <f t="shared" si="14"/>
        <v>100</v>
      </c>
      <c r="X29" s="1816"/>
      <c r="Y29" s="324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8"/>
      <c r="Q30" s="1813">
        <f t="shared" si="11"/>
        <v>111</v>
      </c>
      <c r="R30" s="774" t="s">
        <v>17</v>
      </c>
      <c r="S30" s="775">
        <f t="shared" si="12"/>
        <v>100</v>
      </c>
      <c r="T30" s="774" t="s">
        <v>17</v>
      </c>
      <c r="U30" s="775">
        <f t="shared" si="13"/>
        <v>100</v>
      </c>
      <c r="V30" s="774" t="s">
        <v>17</v>
      </c>
      <c r="W30" s="775">
        <f t="shared" si="14"/>
        <v>100</v>
      </c>
      <c r="X30" s="1816"/>
      <c r="Y30" s="324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8"/>
      <c r="Q31" s="1813">
        <f t="shared" si="11"/>
        <v>111</v>
      </c>
      <c r="R31" s="774" t="s">
        <v>17</v>
      </c>
      <c r="S31" s="775">
        <f t="shared" si="12"/>
        <v>100</v>
      </c>
      <c r="T31" s="774" t="s">
        <v>17</v>
      </c>
      <c r="U31" s="775">
        <f t="shared" si="13"/>
        <v>100</v>
      </c>
      <c r="V31" s="774" t="s">
        <v>17</v>
      </c>
      <c r="W31" s="775">
        <f t="shared" si="14"/>
        <v>100</v>
      </c>
      <c r="X31" s="1816"/>
      <c r="Y31" s="3241"/>
      <c r="Z31" s="1817">
        <f t="shared" si="15"/>
        <v>111</v>
      </c>
      <c r="AA31" s="1814">
        <f t="shared" si="3"/>
        <v>1</v>
      </c>
      <c r="AB31" s="1814">
        <f t="shared" si="4"/>
        <v>1</v>
      </c>
      <c r="AC31" s="1814">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303" t="s">
        <v>2561</v>
      </c>
      <c r="Q32" s="1813" t="str">
        <f t="shared" si="11"/>
        <v>商业类型</v>
      </c>
      <c r="R32" s="774" t="s">
        <v>17</v>
      </c>
      <c r="S32" s="775">
        <f t="shared" si="12"/>
        <v>100</v>
      </c>
      <c r="T32" s="774" t="s">
        <v>17</v>
      </c>
      <c r="U32" s="775">
        <f t="shared" si="13"/>
        <v>100</v>
      </c>
      <c r="V32" s="774" t="s">
        <v>17</v>
      </c>
      <c r="W32" s="775">
        <f t="shared" si="14"/>
        <v>100</v>
      </c>
      <c r="X32" s="1816"/>
      <c r="Y32" s="3243"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4"/>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4" t="e">
        <f t="shared" si="3"/>
        <v>#N/A</v>
      </c>
      <c r="AB33" s="1814" t="e">
        <f t="shared" si="4"/>
        <v>#N/A</v>
      </c>
      <c r="AC33" s="1814"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304"/>
      <c r="Q34" s="1813" t="str">
        <f t="shared" si="11"/>
        <v>建筑结构</v>
      </c>
      <c r="R34" s="774" t="s">
        <v>17</v>
      </c>
      <c r="S34" s="775">
        <f t="shared" si="12"/>
        <v>100</v>
      </c>
      <c r="T34" s="774" t="s">
        <v>17</v>
      </c>
      <c r="U34" s="775">
        <f t="shared" si="13"/>
        <v>100</v>
      </c>
      <c r="V34" s="774" t="s">
        <v>17</v>
      </c>
      <c r="W34" s="775">
        <f t="shared" si="14"/>
        <v>100</v>
      </c>
      <c r="X34" s="1816"/>
      <c r="Y34" s="3243"/>
      <c r="Z34" s="1817" t="str">
        <f t="shared" si="15"/>
        <v>建筑结构</v>
      </c>
      <c r="AA34" s="1814">
        <f t="shared" si="3"/>
        <v>1</v>
      </c>
      <c r="AB34" s="1814">
        <f t="shared" si="4"/>
        <v>1</v>
      </c>
      <c r="AC34" s="1814">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304"/>
      <c r="Q35" s="1813" t="str">
        <f t="shared" si="11"/>
        <v>公共部分装修</v>
      </c>
      <c r="R35" s="774" t="s">
        <v>17</v>
      </c>
      <c r="S35" s="775">
        <f t="shared" si="12"/>
        <v>100</v>
      </c>
      <c r="T35" s="774" t="s">
        <v>17</v>
      </c>
      <c r="U35" s="775">
        <f t="shared" si="13"/>
        <v>100</v>
      </c>
      <c r="V35" s="774" t="s">
        <v>17</v>
      </c>
      <c r="W35" s="775">
        <f t="shared" si="14"/>
        <v>100</v>
      </c>
      <c r="X35" s="1816"/>
      <c r="Y35" s="3243"/>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4"/>
      <c r="Q36" s="1813" t="str">
        <f t="shared" si="11"/>
        <v>成新度</v>
      </c>
      <c r="R36" s="774" t="s">
        <v>17</v>
      </c>
      <c r="S36" s="775" t="e">
        <f t="shared" si="12"/>
        <v>#N/A</v>
      </c>
      <c r="T36" s="774" t="s">
        <v>17</v>
      </c>
      <c r="U36" s="775" t="e">
        <f t="shared" si="13"/>
        <v>#N/A</v>
      </c>
      <c r="V36" s="774" t="s">
        <v>17</v>
      </c>
      <c r="W36" s="775" t="e">
        <f t="shared" si="14"/>
        <v>#N/A</v>
      </c>
      <c r="X36" s="1816"/>
      <c r="Y36" s="3243"/>
      <c r="Z36" s="1817" t="str">
        <f t="shared" si="15"/>
        <v>成新度</v>
      </c>
      <c r="AA36" s="1814" t="e">
        <f t="shared" si="3"/>
        <v>#N/A</v>
      </c>
      <c r="AB36" s="1814" t="e">
        <f t="shared" si="4"/>
        <v>#N/A</v>
      </c>
      <c r="AC36" s="1814"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304"/>
      <c r="Q37" s="1798"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304" t="s">
        <v>2561</v>
      </c>
      <c r="Q38" s="1813" t="str">
        <f t="shared" si="11"/>
        <v>业态</v>
      </c>
      <c r="R38" s="774" t="s">
        <v>17</v>
      </c>
      <c r="S38" s="775">
        <f t="shared" si="12"/>
        <v>100</v>
      </c>
      <c r="T38" s="774" t="s">
        <v>17</v>
      </c>
      <c r="U38" s="775">
        <f t="shared" si="13"/>
        <v>100</v>
      </c>
      <c r="V38" s="774" t="s">
        <v>17</v>
      </c>
      <c r="W38" s="775">
        <f t="shared" si="14"/>
        <v>100</v>
      </c>
      <c r="X38" s="1816"/>
      <c r="Y38" s="3243" t="s">
        <v>2561</v>
      </c>
      <c r="Z38" s="1817" t="str">
        <f t="shared" si="15"/>
        <v>业态</v>
      </c>
      <c r="AA38" s="1814">
        <f t="shared" si="3"/>
        <v>1</v>
      </c>
      <c r="AB38" s="1814">
        <f t="shared" si="4"/>
        <v>1</v>
      </c>
      <c r="AC38" s="1814">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304"/>
      <c r="Q39" s="1813" t="str">
        <f t="shared" si="11"/>
        <v>层高</v>
      </c>
      <c r="R39" s="774" t="s">
        <v>17</v>
      </c>
      <c r="S39" s="775">
        <f t="shared" si="12"/>
        <v>100</v>
      </c>
      <c r="T39" s="774" t="s">
        <v>17</v>
      </c>
      <c r="U39" s="775">
        <f t="shared" si="13"/>
        <v>100</v>
      </c>
      <c r="V39" s="774" t="s">
        <v>17</v>
      </c>
      <c r="W39" s="775">
        <f t="shared" si="14"/>
        <v>100</v>
      </c>
      <c r="X39" s="1816"/>
      <c r="Y39" s="3243"/>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4"/>
      <c r="Q40" s="1813" t="str">
        <f t="shared" si="11"/>
        <v>单套建筑面积</v>
      </c>
      <c r="R40" s="774" t="s">
        <v>17</v>
      </c>
      <c r="S40" s="775">
        <f t="shared" si="12"/>
        <v>100</v>
      </c>
      <c r="T40" s="774" t="s">
        <v>17</v>
      </c>
      <c r="U40" s="775">
        <f t="shared" si="13"/>
        <v>100</v>
      </c>
      <c r="V40" s="774" t="s">
        <v>17</v>
      </c>
      <c r="W40" s="775">
        <f t="shared" si="14"/>
        <v>100</v>
      </c>
      <c r="X40" s="1816"/>
      <c r="Y40" s="3243"/>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4"/>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4">
        <f t="shared" si="3"/>
        <v>1</v>
      </c>
      <c r="AB41" s="1814">
        <f t="shared" si="4"/>
        <v>1</v>
      </c>
      <c r="AC41" s="1814">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304"/>
      <c r="Q42" s="1813" t="str">
        <f t="shared" si="11"/>
        <v>内部装修</v>
      </c>
      <c r="R42" s="774" t="s">
        <v>17</v>
      </c>
      <c r="S42" s="775">
        <f t="shared" si="12"/>
        <v>100</v>
      </c>
      <c r="T42" s="774" t="s">
        <v>17</v>
      </c>
      <c r="U42" s="775">
        <f t="shared" si="13"/>
        <v>100</v>
      </c>
      <c r="V42" s="774" t="s">
        <v>17</v>
      </c>
      <c r="W42" s="775">
        <f t="shared" si="14"/>
        <v>100</v>
      </c>
      <c r="X42" s="1816"/>
      <c r="Y42" s="3243"/>
      <c r="Z42" s="1817" t="str">
        <f t="shared" si="15"/>
        <v>内部装修</v>
      </c>
      <c r="AA42" s="1814">
        <f t="shared" si="3"/>
        <v>1</v>
      </c>
      <c r="AB42" s="1814">
        <f t="shared" si="4"/>
        <v>1</v>
      </c>
      <c r="AC42" s="1814">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304"/>
      <c r="Q43" s="1813" t="str">
        <f t="shared" si="11"/>
        <v>内部装修维护情况</v>
      </c>
      <c r="R43" s="774" t="s">
        <v>17</v>
      </c>
      <c r="S43" s="775">
        <f t="shared" si="12"/>
        <v>100</v>
      </c>
      <c r="T43" s="774" t="s">
        <v>17</v>
      </c>
      <c r="U43" s="775">
        <f t="shared" si="13"/>
        <v>100</v>
      </c>
      <c r="V43" s="774" t="s">
        <v>17</v>
      </c>
      <c r="W43" s="775">
        <f t="shared" si="14"/>
        <v>100</v>
      </c>
      <c r="X43" s="1816"/>
      <c r="Y43" s="324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4"/>
      <c r="Q44" s="1798">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4"/>
      <c r="Q45" s="1813">
        <f t="shared" si="11"/>
        <v>111</v>
      </c>
      <c r="R45" s="774" t="s">
        <v>17</v>
      </c>
      <c r="S45" s="775">
        <f t="shared" si="12"/>
        <v>100</v>
      </c>
      <c r="T45" s="774" t="s">
        <v>17</v>
      </c>
      <c r="U45" s="775">
        <f t="shared" si="13"/>
        <v>100</v>
      </c>
      <c r="V45" s="774" t="s">
        <v>17</v>
      </c>
      <c r="W45" s="775">
        <f t="shared" si="14"/>
        <v>100</v>
      </c>
      <c r="X45" s="1816"/>
      <c r="Y45" s="3243"/>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5"/>
      <c r="Q46" s="1813">
        <f t="shared" si="11"/>
        <v>111</v>
      </c>
      <c r="R46" s="774" t="s">
        <v>17</v>
      </c>
      <c r="S46" s="775">
        <f t="shared" si="12"/>
        <v>100</v>
      </c>
      <c r="T46" s="774" t="s">
        <v>17</v>
      </c>
      <c r="U46" s="775">
        <f t="shared" si="13"/>
        <v>100</v>
      </c>
      <c r="V46" s="774" t="s">
        <v>17</v>
      </c>
      <c r="W46" s="775">
        <f t="shared" si="14"/>
        <v>100</v>
      </c>
      <c r="X46" s="1816"/>
      <c r="Y46" s="3306"/>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238" t="str">
        <f>A47</f>
        <v>成交单价（元/平方米）</v>
      </c>
      <c r="Q47" s="3238"/>
      <c r="R47" s="3244">
        <f>E47</f>
        <v>0</v>
      </c>
      <c r="S47" s="3244"/>
      <c r="T47" s="3244">
        <f>G47</f>
        <v>0</v>
      </c>
      <c r="U47" s="3244"/>
      <c r="V47" s="3244">
        <f>I47</f>
        <v>0</v>
      </c>
      <c r="W47" s="3244"/>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238" t="str">
        <f>A48</f>
        <v>比较价值（元/平方米）</v>
      </c>
      <c r="Q48" s="3238"/>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232" t="str">
        <f>A49</f>
        <v>估价对象XX用房的比较价值（楼面单价，元/平方米）</v>
      </c>
      <c r="Q49" s="3233"/>
      <c r="R49" s="3301" t="e">
        <f>IF(F1="售价",ROUND(AVERAGE(R48:V48),0),ROUND(AVERAGE(R48:V48),1))</f>
        <v>#DIV/0!</v>
      </c>
      <c r="S49" s="3301"/>
      <c r="T49" s="3301"/>
      <c r="U49" s="3301"/>
      <c r="V49" s="3301"/>
      <c r="W49" s="33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2544</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2559</v>
      </c>
      <c r="B100" s="528" t="s">
        <v>2677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2612</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2680</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0" t="s">
        <v>2682</v>
      </c>
      <c r="C1" s="1623" t="s">
        <v>2526</v>
      </c>
      <c r="D1" s="1624"/>
      <c r="E1" s="1633"/>
      <c r="F1" s="2585"/>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44886.34</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235" t="s">
        <v>2642</v>
      </c>
      <c r="D4" s="3248"/>
      <c r="E4" s="3249" t="s">
        <v>2643</v>
      </c>
      <c r="F4" s="3250"/>
      <c r="G4" s="3235" t="s">
        <v>2644</v>
      </c>
      <c r="H4" s="3248"/>
      <c r="I4" s="3235" t="s">
        <v>2645</v>
      </c>
      <c r="J4" s="3248"/>
      <c r="K4" s="610" t="s">
        <v>2646</v>
      </c>
      <c r="L4" s="1133"/>
      <c r="M4" s="1134"/>
      <c r="N4" s="1134"/>
      <c r="O4" s="1134"/>
      <c r="P4" s="3325" t="s">
        <v>2647</v>
      </c>
      <c r="Q4" s="3326"/>
      <c r="R4" s="3329" t="s">
        <v>2643</v>
      </c>
      <c r="S4" s="3330"/>
      <c r="T4" s="3329" t="s">
        <v>2644</v>
      </c>
      <c r="U4" s="3330"/>
      <c r="V4" s="3331" t="s">
        <v>2645</v>
      </c>
      <c r="W4" s="3331"/>
      <c r="X4" s="2671"/>
      <c r="Y4" s="3329" t="s">
        <v>2647</v>
      </c>
      <c r="Z4" s="3330"/>
      <c r="AA4" s="3333" t="s">
        <v>2643</v>
      </c>
      <c r="AB4" s="3333" t="s">
        <v>2644</v>
      </c>
      <c r="AC4" s="3322" t="s">
        <v>2645</v>
      </c>
    </row>
    <row r="5" spans="1:29" ht="15">
      <c r="A5" s="404"/>
      <c r="B5" s="405"/>
      <c r="C5" s="3270" t="s">
        <v>2538</v>
      </c>
      <c r="D5" s="3266"/>
      <c r="E5" s="3317" t="s">
        <v>2539</v>
      </c>
      <c r="F5" s="3318"/>
      <c r="G5" s="3270" t="s">
        <v>2540</v>
      </c>
      <c r="H5" s="3266"/>
      <c r="I5" s="3270" t="s">
        <v>2541</v>
      </c>
      <c r="J5" s="3266"/>
      <c r="K5" s="610"/>
      <c r="L5" s="1133"/>
      <c r="M5" s="1134"/>
      <c r="N5" s="1134"/>
      <c r="O5" s="1134"/>
      <c r="P5" s="3327"/>
      <c r="Q5" s="3254"/>
      <c r="R5" s="3259"/>
      <c r="S5" s="3260"/>
      <c r="T5" s="3259"/>
      <c r="U5" s="3260"/>
      <c r="V5" s="3244"/>
      <c r="W5" s="3244"/>
      <c r="X5" s="1816"/>
      <c r="Y5" s="3259"/>
      <c r="Z5" s="3260"/>
      <c r="AA5" s="3246"/>
      <c r="AB5" s="3246"/>
      <c r="AC5" s="3323"/>
    </row>
    <row r="6" spans="1:29" ht="15.75" thickBot="1">
      <c r="A6" s="406"/>
      <c r="B6" s="407"/>
      <c r="C6" s="3309" t="s">
        <v>2542</v>
      </c>
      <c r="D6" s="3264"/>
      <c r="E6" s="3313" t="s">
        <v>2542</v>
      </c>
      <c r="F6" s="3314"/>
      <c r="G6" s="3309" t="s">
        <v>2542</v>
      </c>
      <c r="H6" s="3264"/>
      <c r="I6" s="3309" t="s">
        <v>2542</v>
      </c>
      <c r="J6" s="3264"/>
      <c r="K6" s="610" t="s">
        <v>2543</v>
      </c>
      <c r="L6" s="1133"/>
      <c r="M6" s="1134"/>
      <c r="N6" s="1134"/>
      <c r="O6" s="1134"/>
      <c r="P6" s="3328"/>
      <c r="Q6" s="3256"/>
      <c r="R6" s="3259"/>
      <c r="S6" s="3260"/>
      <c r="T6" s="3261"/>
      <c r="U6" s="3262"/>
      <c r="V6" s="3244"/>
      <c r="W6" s="3244"/>
      <c r="X6" s="1816"/>
      <c r="Y6" s="3261"/>
      <c r="Z6" s="3262"/>
      <c r="AA6" s="3247"/>
      <c r="AB6" s="3247"/>
      <c r="AC6" s="3324"/>
    </row>
    <row r="7" spans="1:29" s="117" customFormat="1" ht="15.75" thickBot="1">
      <c r="A7" s="408" t="s">
        <v>2544</v>
      </c>
      <c r="B7" s="409"/>
      <c r="C7" s="410">
        <f>'数据-取费表'!B2</f>
        <v>43248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32" t="s">
        <v>2545</v>
      </c>
      <c r="Q7" s="3269"/>
      <c r="R7" s="770" t="s">
        <v>17</v>
      </c>
      <c r="S7" s="771">
        <f t="shared" ref="S7:S15" si="0">F7</f>
        <v>0</v>
      </c>
      <c r="T7" s="770" t="s">
        <v>17</v>
      </c>
      <c r="U7" s="771">
        <f t="shared" ref="U7:U15" si="1">H7</f>
        <v>0</v>
      </c>
      <c r="V7" s="770" t="s">
        <v>17</v>
      </c>
      <c r="W7" s="771">
        <f t="shared" ref="W7:W15" si="2">J7</f>
        <v>0</v>
      </c>
      <c r="X7" s="772"/>
      <c r="Y7" s="3267" t="s">
        <v>2545</v>
      </c>
      <c r="Z7" s="3268"/>
      <c r="AA7" s="773" t="e">
        <f>D7/F7</f>
        <v>#DIV/0!</v>
      </c>
      <c r="AB7" s="773"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32" t="s">
        <v>2548</v>
      </c>
      <c r="Q8" s="3268"/>
      <c r="R8" s="770" t="s">
        <v>17</v>
      </c>
      <c r="S8" s="771">
        <f t="shared" si="0"/>
        <v>0</v>
      </c>
      <c r="T8" s="770" t="s">
        <v>17</v>
      </c>
      <c r="U8" s="771">
        <f t="shared" si="1"/>
        <v>0</v>
      </c>
      <c r="V8" s="770" t="s">
        <v>17</v>
      </c>
      <c r="W8" s="771">
        <f t="shared" si="2"/>
        <v>0</v>
      </c>
      <c r="X8" s="772"/>
      <c r="Y8" s="3267" t="s">
        <v>2548</v>
      </c>
      <c r="Z8" s="3268"/>
      <c r="AA8" s="773" t="e">
        <f t="shared" ref="AA8:AA47" si="3">D8/F8</f>
        <v>#DIV/0!</v>
      </c>
      <c r="AB8" s="773"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7" t="s">
        <v>2551</v>
      </c>
      <c r="Q9" s="1798" t="str">
        <f t="shared" ref="Q9:Q15" si="6">B9</f>
        <v>用途</v>
      </c>
      <c r="R9" s="770" t="s">
        <v>17</v>
      </c>
      <c r="S9" s="771">
        <f t="shared" si="0"/>
        <v>100</v>
      </c>
      <c r="T9" s="770" t="s">
        <v>17</v>
      </c>
      <c r="U9" s="771">
        <f t="shared" si="1"/>
        <v>100</v>
      </c>
      <c r="V9" s="770" t="s">
        <v>17</v>
      </c>
      <c r="W9" s="771">
        <f t="shared" si="2"/>
        <v>100</v>
      </c>
      <c r="X9" s="772"/>
      <c r="Y9" s="3068" t="s">
        <v>2552</v>
      </c>
      <c r="Z9" s="55" t="str">
        <f t="shared" ref="Z9:Z15" si="7">Q9</f>
        <v>用途</v>
      </c>
      <c r="AA9" s="773">
        <f t="shared" si="3"/>
        <v>1</v>
      </c>
      <c r="AB9" s="773">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7" t="s">
        <v>2556</v>
      </c>
      <c r="Q15" s="1813" t="str">
        <f t="shared" si="6"/>
        <v>办公集聚程度</v>
      </c>
      <c r="R15" s="774" t="s">
        <v>17</v>
      </c>
      <c r="S15" s="775">
        <f t="shared" si="0"/>
        <v>100</v>
      </c>
      <c r="T15" s="774" t="s">
        <v>17</v>
      </c>
      <c r="U15" s="775">
        <f t="shared" si="1"/>
        <v>100</v>
      </c>
      <c r="V15" s="774" t="s">
        <v>17</v>
      </c>
      <c r="W15" s="775">
        <f t="shared" si="2"/>
        <v>100</v>
      </c>
      <c r="X15" s="1816"/>
      <c r="Y15" s="3240" t="s">
        <v>2556</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308"/>
      <c r="Q16" s="1813"/>
      <c r="R16" s="774"/>
      <c r="S16" s="775"/>
      <c r="T16" s="774"/>
      <c r="U16" s="775"/>
      <c r="V16" s="774"/>
      <c r="W16" s="775"/>
      <c r="X16" s="1816"/>
      <c r="Y16" s="3241"/>
      <c r="Z16" s="1817"/>
      <c r="AA16" s="1814">
        <v>1</v>
      </c>
      <c r="AB16" s="1814">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8"/>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308"/>
      <c r="Q18" s="1813"/>
      <c r="R18" s="774"/>
      <c r="S18" s="775"/>
      <c r="T18" s="774"/>
      <c r="U18" s="775"/>
      <c r="V18" s="774"/>
      <c r="W18" s="775"/>
      <c r="X18" s="1816"/>
      <c r="Y18" s="3241"/>
      <c r="Z18" s="1817"/>
      <c r="AA18" s="1814">
        <v>1</v>
      </c>
      <c r="AB18" s="1814">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8"/>
      <c r="Q19" s="1813" t="str">
        <f>B19</f>
        <v>公共配套设施</v>
      </c>
      <c r="R19" s="774" t="s">
        <v>17</v>
      </c>
      <c r="S19" s="775">
        <f>F19</f>
        <v>100</v>
      </c>
      <c r="T19" s="774" t="s">
        <v>17</v>
      </c>
      <c r="U19" s="775">
        <f>H19</f>
        <v>100</v>
      </c>
      <c r="V19" s="774" t="s">
        <v>17</v>
      </c>
      <c r="W19" s="775">
        <f>J19</f>
        <v>100</v>
      </c>
      <c r="X19" s="1816"/>
      <c r="Y19" s="3241"/>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308"/>
      <c r="Q20" s="1813"/>
      <c r="R20" s="774"/>
      <c r="S20" s="775"/>
      <c r="T20" s="774"/>
      <c r="U20" s="775"/>
      <c r="V20" s="774"/>
      <c r="W20" s="775"/>
      <c r="X20" s="1816"/>
      <c r="Y20" s="3241"/>
      <c r="Z20" s="1817"/>
      <c r="AA20" s="1814">
        <v>1</v>
      </c>
      <c r="AB20" s="1814">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8"/>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308"/>
      <c r="Q22" s="1813"/>
      <c r="R22" s="774"/>
      <c r="S22" s="775"/>
      <c r="T22" s="774"/>
      <c r="U22" s="775"/>
      <c r="V22" s="774"/>
      <c r="W22" s="775"/>
      <c r="X22" s="1816"/>
      <c r="Y22" s="3241"/>
      <c r="Z22" s="1817"/>
      <c r="AA22" s="1814">
        <v>1</v>
      </c>
      <c r="AB22" s="1814">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8"/>
      <c r="Q23" s="1813" t="str">
        <f>B23</f>
        <v>环境质量</v>
      </c>
      <c r="R23" s="774" t="s">
        <v>17</v>
      </c>
      <c r="S23" s="775">
        <f>F23</f>
        <v>100</v>
      </c>
      <c r="T23" s="774" t="s">
        <v>17</v>
      </c>
      <c r="U23" s="775">
        <f>H23</f>
        <v>100</v>
      </c>
      <c r="V23" s="774" t="s">
        <v>17</v>
      </c>
      <c r="W23" s="775">
        <f>J23</f>
        <v>100</v>
      </c>
      <c r="X23" s="1816"/>
      <c r="Y23" s="3241"/>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308"/>
      <c r="Q24" s="1813"/>
      <c r="R24" s="774"/>
      <c r="S24" s="775"/>
      <c r="T24" s="774"/>
      <c r="U24" s="775"/>
      <c r="V24" s="774"/>
      <c r="W24" s="775"/>
      <c r="X24" s="1816"/>
      <c r="Y24" s="3241"/>
      <c r="Z24" s="1817"/>
      <c r="AA24" s="1814">
        <v>1</v>
      </c>
      <c r="AB24" s="1814">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308"/>
      <c r="Q25" s="1813" t="str">
        <f>B25</f>
        <v>毗邻道路的类型与等级</v>
      </c>
      <c r="R25" s="774" t="s">
        <v>17</v>
      </c>
      <c r="S25" s="775">
        <f>F25</f>
        <v>100</v>
      </c>
      <c r="T25" s="774" t="s">
        <v>17</v>
      </c>
      <c r="U25" s="775">
        <f>H25</f>
        <v>100</v>
      </c>
      <c r="V25" s="774" t="s">
        <v>17</v>
      </c>
      <c r="W25" s="775">
        <f>J25</f>
        <v>100</v>
      </c>
      <c r="X25" s="1816"/>
      <c r="Y25" s="3241"/>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308"/>
      <c r="Q26" s="1813"/>
      <c r="R26" s="774"/>
      <c r="S26" s="775"/>
      <c r="T26" s="774"/>
      <c r="U26" s="775"/>
      <c r="V26" s="774"/>
      <c r="W26" s="775"/>
      <c r="X26" s="1816"/>
      <c r="Y26" s="3241"/>
      <c r="Z26" s="1817"/>
      <c r="AA26" s="1814">
        <v>1</v>
      </c>
      <c r="AB26" s="1814">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8"/>
      <c r="Q27" s="1813" t="str">
        <f t="shared" ref="Q27:Q47" si="11">B27</f>
        <v>楼层</v>
      </c>
      <c r="R27" s="774" t="s">
        <v>17</v>
      </c>
      <c r="S27" s="775">
        <f>F27</f>
        <v>100</v>
      </c>
      <c r="T27" s="774" t="s">
        <v>17</v>
      </c>
      <c r="U27" s="775">
        <f>H27</f>
        <v>100</v>
      </c>
      <c r="V27" s="774" t="s">
        <v>17</v>
      </c>
      <c r="W27" s="775">
        <f>J27</f>
        <v>100</v>
      </c>
      <c r="X27" s="1816"/>
      <c r="Y27" s="3241"/>
      <c r="Z27" s="1817" t="str">
        <f>Q27</f>
        <v>楼层</v>
      </c>
      <c r="AA27" s="1814">
        <f t="shared" si="3"/>
        <v>1</v>
      </c>
      <c r="AB27" s="1814">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308"/>
      <c r="Q28" s="1798" t="str">
        <f t="shared" si="11"/>
        <v>朝向</v>
      </c>
      <c r="R28" s="770" t="s">
        <v>17</v>
      </c>
      <c r="S28" s="771">
        <f>F28</f>
        <v>100</v>
      </c>
      <c r="T28" s="770" t="s">
        <v>17</v>
      </c>
      <c r="U28" s="771">
        <f>H28</f>
        <v>100</v>
      </c>
      <c r="V28" s="770" t="s">
        <v>17</v>
      </c>
      <c r="W28" s="771">
        <f>J28</f>
        <v>100</v>
      </c>
      <c r="X28" s="772"/>
      <c r="Y28" s="3241"/>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308"/>
      <c r="Q29" s="1813">
        <f t="shared" si="11"/>
        <v>111</v>
      </c>
      <c r="R29" s="774" t="s">
        <v>17</v>
      </c>
      <c r="S29" s="775">
        <f t="shared" ref="S29:S47" si="12">F29</f>
        <v>100</v>
      </c>
      <c r="T29" s="774" t="s">
        <v>17</v>
      </c>
      <c r="U29" s="775">
        <f t="shared" ref="U29:U47" si="13">H29</f>
        <v>100</v>
      </c>
      <c r="V29" s="774" t="s">
        <v>17</v>
      </c>
      <c r="W29" s="775">
        <f t="shared" ref="W29:W47" si="14">J29</f>
        <v>100</v>
      </c>
      <c r="X29" s="1816"/>
      <c r="Y29" s="3241"/>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308"/>
      <c r="Q30" s="1813">
        <f t="shared" si="11"/>
        <v>111</v>
      </c>
      <c r="R30" s="774" t="s">
        <v>17</v>
      </c>
      <c r="S30" s="775">
        <f t="shared" si="12"/>
        <v>100</v>
      </c>
      <c r="T30" s="774" t="s">
        <v>17</v>
      </c>
      <c r="U30" s="775">
        <f t="shared" si="13"/>
        <v>100</v>
      </c>
      <c r="V30" s="774" t="s">
        <v>17</v>
      </c>
      <c r="W30" s="775">
        <f t="shared" si="14"/>
        <v>100</v>
      </c>
      <c r="X30" s="1816"/>
      <c r="Y30" s="3241"/>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308"/>
      <c r="Q31" s="1813">
        <f t="shared" si="11"/>
        <v>111</v>
      </c>
      <c r="R31" s="774" t="s">
        <v>17</v>
      </c>
      <c r="S31" s="775">
        <f t="shared" si="12"/>
        <v>100</v>
      </c>
      <c r="T31" s="774" t="s">
        <v>17</v>
      </c>
      <c r="U31" s="775">
        <f t="shared" si="13"/>
        <v>100</v>
      </c>
      <c r="V31" s="774" t="s">
        <v>17</v>
      </c>
      <c r="W31" s="775">
        <f t="shared" si="14"/>
        <v>100</v>
      </c>
      <c r="X31" s="1816"/>
      <c r="Y31" s="3241"/>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308"/>
      <c r="Q32" s="1813">
        <f t="shared" si="11"/>
        <v>111</v>
      </c>
      <c r="R32" s="774" t="s">
        <v>17</v>
      </c>
      <c r="S32" s="775">
        <f t="shared" si="12"/>
        <v>100</v>
      </c>
      <c r="T32" s="774" t="s">
        <v>17</v>
      </c>
      <c r="U32" s="775">
        <f t="shared" si="13"/>
        <v>100</v>
      </c>
      <c r="V32" s="774" t="s">
        <v>17</v>
      </c>
      <c r="W32" s="775">
        <f t="shared" si="14"/>
        <v>100</v>
      </c>
      <c r="X32" s="1816"/>
      <c r="Y32" s="3241"/>
      <c r="Z32" s="1817">
        <f t="shared" si="15"/>
        <v>111</v>
      </c>
      <c r="AA32" s="1814">
        <f t="shared" si="3"/>
        <v>1</v>
      </c>
      <c r="AB32" s="1814">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303" t="s">
        <v>2561</v>
      </c>
      <c r="Q33" s="1813" t="str">
        <f t="shared" si="11"/>
        <v>建筑类型</v>
      </c>
      <c r="R33" s="774" t="s">
        <v>17</v>
      </c>
      <c r="S33" s="775">
        <f t="shared" si="12"/>
        <v>100</v>
      </c>
      <c r="T33" s="774" t="s">
        <v>17</v>
      </c>
      <c r="U33" s="775">
        <f t="shared" si="13"/>
        <v>100</v>
      </c>
      <c r="V33" s="774" t="s">
        <v>17</v>
      </c>
      <c r="W33" s="775">
        <f t="shared" si="14"/>
        <v>100</v>
      </c>
      <c r="X33" s="1816"/>
      <c r="Y33" s="3243" t="s">
        <v>2561</v>
      </c>
      <c r="Z33" s="1817" t="str">
        <f t="shared" si="15"/>
        <v>建筑类型</v>
      </c>
      <c r="AA33" s="1814">
        <f t="shared" si="3"/>
        <v>1</v>
      </c>
      <c r="AB33" s="1814">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4"/>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4" t="e">
        <f t="shared" si="3"/>
        <v>#N/A</v>
      </c>
      <c r="AB34" s="1814"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4"/>
      <c r="Q35" s="1813" t="str">
        <f t="shared" si="11"/>
        <v>建筑结构</v>
      </c>
      <c r="R35" s="774" t="s">
        <v>17</v>
      </c>
      <c r="S35" s="775">
        <f t="shared" si="12"/>
        <v>100</v>
      </c>
      <c r="T35" s="774" t="s">
        <v>17</v>
      </c>
      <c r="U35" s="775">
        <f t="shared" si="13"/>
        <v>100</v>
      </c>
      <c r="V35" s="774" t="s">
        <v>17</v>
      </c>
      <c r="W35" s="775">
        <f t="shared" si="14"/>
        <v>100</v>
      </c>
      <c r="X35" s="1816"/>
      <c r="Y35" s="3243"/>
      <c r="Z35" s="1817" t="str">
        <f t="shared" si="15"/>
        <v>建筑结构</v>
      </c>
      <c r="AA35" s="1814">
        <f t="shared" si="3"/>
        <v>1</v>
      </c>
      <c r="AB35" s="1814">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4"/>
      <c r="Q36" s="1813" t="str">
        <f t="shared" si="11"/>
        <v>公共部分装修</v>
      </c>
      <c r="R36" s="774" t="s">
        <v>17</v>
      </c>
      <c r="S36" s="775">
        <f t="shared" si="12"/>
        <v>100</v>
      </c>
      <c r="T36" s="774" t="s">
        <v>17</v>
      </c>
      <c r="U36" s="775">
        <f t="shared" si="13"/>
        <v>100</v>
      </c>
      <c r="V36" s="774" t="s">
        <v>17</v>
      </c>
      <c r="W36" s="775">
        <f t="shared" si="14"/>
        <v>100</v>
      </c>
      <c r="X36" s="1816"/>
      <c r="Y36" s="3243"/>
      <c r="Z36" s="1817" t="str">
        <f t="shared" si="15"/>
        <v>公共部分装修</v>
      </c>
      <c r="AA36" s="1814">
        <f t="shared" si="3"/>
        <v>1</v>
      </c>
      <c r="AB36" s="1814">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4"/>
      <c r="Q37" s="1813" t="str">
        <f t="shared" si="11"/>
        <v>成新度</v>
      </c>
      <c r="R37" s="774" t="s">
        <v>17</v>
      </c>
      <c r="S37" s="775" t="e">
        <f t="shared" si="12"/>
        <v>#N/A</v>
      </c>
      <c r="T37" s="774" t="s">
        <v>17</v>
      </c>
      <c r="U37" s="775" t="e">
        <f t="shared" si="13"/>
        <v>#N/A</v>
      </c>
      <c r="V37" s="774" t="s">
        <v>17</v>
      </c>
      <c r="W37" s="775" t="e">
        <f t="shared" si="14"/>
        <v>#N/A</v>
      </c>
      <c r="X37" s="1816"/>
      <c r="Y37" s="3243"/>
      <c r="Z37" s="1817" t="str">
        <f t="shared" si="15"/>
        <v>成新度</v>
      </c>
      <c r="AA37" s="1814" t="e">
        <f t="shared" si="3"/>
        <v>#N/A</v>
      </c>
      <c r="AB37" s="1814"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4"/>
      <c r="Q38" s="1798"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4" t="s">
        <v>2561</v>
      </c>
      <c r="Q39" s="1813" t="str">
        <f t="shared" si="11"/>
        <v>物业管理</v>
      </c>
      <c r="R39" s="774" t="s">
        <v>17</v>
      </c>
      <c r="S39" s="775">
        <f t="shared" si="12"/>
        <v>100</v>
      </c>
      <c r="T39" s="774" t="s">
        <v>17</v>
      </c>
      <c r="U39" s="775">
        <f t="shared" si="13"/>
        <v>100</v>
      </c>
      <c r="V39" s="774" t="s">
        <v>17</v>
      </c>
      <c r="W39" s="775">
        <f t="shared" si="14"/>
        <v>100</v>
      </c>
      <c r="X39" s="1816"/>
      <c r="Y39" s="3243" t="s">
        <v>2561</v>
      </c>
      <c r="Z39" s="1817" t="str">
        <f t="shared" si="15"/>
        <v>物业管理</v>
      </c>
      <c r="AA39" s="1814">
        <f t="shared" si="3"/>
        <v>1</v>
      </c>
      <c r="AB39" s="1814">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4"/>
      <c r="Q40" s="1813" t="str">
        <f t="shared" si="11"/>
        <v>市政基础设施</v>
      </c>
      <c r="R40" s="774" t="s">
        <v>17</v>
      </c>
      <c r="S40" s="775">
        <f t="shared" si="12"/>
        <v>100</v>
      </c>
      <c r="T40" s="774" t="s">
        <v>17</v>
      </c>
      <c r="U40" s="775">
        <f t="shared" si="13"/>
        <v>100</v>
      </c>
      <c r="V40" s="774" t="s">
        <v>17</v>
      </c>
      <c r="W40" s="775">
        <f t="shared" si="14"/>
        <v>100</v>
      </c>
      <c r="X40" s="1816"/>
      <c r="Y40" s="3243"/>
      <c r="Z40" s="1817" t="str">
        <f t="shared" si="15"/>
        <v>市政基础设施</v>
      </c>
      <c r="AA40" s="1814">
        <f t="shared" si="3"/>
        <v>1</v>
      </c>
      <c r="AB40" s="1814">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4"/>
      <c r="Q41" s="1813" t="str">
        <f t="shared" si="11"/>
        <v>层高</v>
      </c>
      <c r="R41" s="774" t="s">
        <v>17</v>
      </c>
      <c r="S41" s="775">
        <f t="shared" si="12"/>
        <v>100</v>
      </c>
      <c r="T41" s="774" t="s">
        <v>17</v>
      </c>
      <c r="U41" s="775">
        <f t="shared" si="13"/>
        <v>100</v>
      </c>
      <c r="V41" s="774" t="s">
        <v>17</v>
      </c>
      <c r="W41" s="775">
        <f t="shared" si="14"/>
        <v>100</v>
      </c>
      <c r="X41" s="1816"/>
      <c r="Y41" s="3243"/>
      <c r="Z41" s="1817" t="str">
        <f t="shared" si="15"/>
        <v>层高</v>
      </c>
      <c r="AA41" s="1814">
        <f t="shared" si="3"/>
        <v>1</v>
      </c>
      <c r="AB41" s="1814">
        <f t="shared" si="4"/>
        <v>1</v>
      </c>
      <c r="AC41" s="2675">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4"/>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4">
        <f t="shared" si="3"/>
        <v>1</v>
      </c>
      <c r="AB42" s="1814">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4"/>
      <c r="Q43" s="1813" t="str">
        <f t="shared" si="11"/>
        <v>内部装修</v>
      </c>
      <c r="R43" s="774" t="s">
        <v>17</v>
      </c>
      <c r="S43" s="775">
        <f t="shared" si="12"/>
        <v>100</v>
      </c>
      <c r="T43" s="774" t="s">
        <v>17</v>
      </c>
      <c r="U43" s="775">
        <f t="shared" si="13"/>
        <v>100</v>
      </c>
      <c r="V43" s="774" t="s">
        <v>17</v>
      </c>
      <c r="W43" s="775">
        <f t="shared" si="14"/>
        <v>100</v>
      </c>
      <c r="X43" s="1816"/>
      <c r="Y43" s="3243"/>
      <c r="Z43" s="1817" t="str">
        <f t="shared" si="15"/>
        <v>内部装修</v>
      </c>
      <c r="AA43" s="1814">
        <f t="shared" si="3"/>
        <v>1</v>
      </c>
      <c r="AB43" s="1814">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304"/>
      <c r="Q44" s="1813" t="str">
        <f t="shared" si="11"/>
        <v>内部装修维护情况</v>
      </c>
      <c r="R44" s="774" t="s">
        <v>17</v>
      </c>
      <c r="S44" s="775">
        <f t="shared" si="12"/>
        <v>100</v>
      </c>
      <c r="T44" s="774" t="s">
        <v>17</v>
      </c>
      <c r="U44" s="775">
        <f t="shared" si="13"/>
        <v>100</v>
      </c>
      <c r="V44" s="774" t="s">
        <v>17</v>
      </c>
      <c r="W44" s="775">
        <f t="shared" si="14"/>
        <v>100</v>
      </c>
      <c r="X44" s="1816"/>
      <c r="Y44" s="3243"/>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4"/>
      <c r="Q45" s="1798">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4"/>
      <c r="Q46" s="1813">
        <f t="shared" si="11"/>
        <v>111</v>
      </c>
      <c r="R46" s="774" t="s">
        <v>17</v>
      </c>
      <c r="S46" s="775">
        <f t="shared" si="12"/>
        <v>100</v>
      </c>
      <c r="T46" s="774" t="s">
        <v>17</v>
      </c>
      <c r="U46" s="775">
        <f t="shared" si="13"/>
        <v>100</v>
      </c>
      <c r="V46" s="774" t="s">
        <v>17</v>
      </c>
      <c r="W46" s="775">
        <f t="shared" si="14"/>
        <v>100</v>
      </c>
      <c r="X46" s="1816"/>
      <c r="Y46" s="3243"/>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5"/>
      <c r="Q47" s="1813">
        <f t="shared" si="11"/>
        <v>111</v>
      </c>
      <c r="R47" s="774" t="s">
        <v>17</v>
      </c>
      <c r="S47" s="775">
        <f t="shared" si="12"/>
        <v>100</v>
      </c>
      <c r="T47" s="774" t="s">
        <v>17</v>
      </c>
      <c r="U47" s="775">
        <f t="shared" si="13"/>
        <v>100</v>
      </c>
      <c r="V47" s="774" t="s">
        <v>17</v>
      </c>
      <c r="W47" s="775">
        <f t="shared" si="14"/>
        <v>100</v>
      </c>
      <c r="X47" s="1816"/>
      <c r="Y47" s="3306"/>
      <c r="Z47" s="1817">
        <f t="shared" si="15"/>
        <v>111</v>
      </c>
      <c r="AA47" s="1814">
        <f t="shared" si="3"/>
        <v>1</v>
      </c>
      <c r="AB47" s="1814">
        <f t="shared" si="4"/>
        <v>1</v>
      </c>
      <c r="AC47" s="2675">
        <f t="shared" si="5"/>
        <v>1</v>
      </c>
    </row>
    <row r="48" spans="1:29" ht="15">
      <c r="A48" s="479" t="s">
        <v>2573</v>
      </c>
      <c r="B48" s="480"/>
      <c r="C48" s="1410" t="s">
        <v>1</v>
      </c>
      <c r="D48" s="1411"/>
      <c r="E48" s="1412"/>
      <c r="F48" s="1413"/>
      <c r="G48" s="1414"/>
      <c r="H48" s="1415"/>
      <c r="I48" s="1412"/>
      <c r="J48" s="485"/>
      <c r="K48" s="783"/>
      <c r="L48" s="1146"/>
      <c r="M48" s="1134"/>
      <c r="N48" s="1134"/>
      <c r="O48" s="1134"/>
      <c r="P48" s="3237" t="str">
        <f>A48</f>
        <v>成交单价（元/平方米）</v>
      </c>
      <c r="Q48" s="3238"/>
      <c r="R48" s="3302">
        <f>E48</f>
        <v>0</v>
      </c>
      <c r="S48" s="3302"/>
      <c r="T48" s="3302">
        <f>G48</f>
        <v>0</v>
      </c>
      <c r="U48" s="3302"/>
      <c r="V48" s="3302">
        <f>I48</f>
        <v>0</v>
      </c>
      <c r="W48" s="3302"/>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237" t="str">
        <f>A49</f>
        <v>比较价值（元/平方米）</v>
      </c>
      <c r="Q49" s="3238"/>
      <c r="R49" s="3302" t="e">
        <f>IF(F1="售价",ROUND(PRODUCT(R48,AA7:AA47),0),ROUND(PRODUCT(R48,AA7:AA47),1))</f>
        <v>#DIV/0!</v>
      </c>
      <c r="S49" s="3302"/>
      <c r="T49" s="3302" t="e">
        <f>IF(F1="售价",ROUND(PRODUCT(T48,AB7:AB47),0),ROUND(PRODUCT(T48,AB7:AB47),1))</f>
        <v>#DIV/0!</v>
      </c>
      <c r="U49" s="3302"/>
      <c r="V49" s="3302" t="e">
        <f>IF(F1="售价",ROUND(PRODUCT(V48,AC7:AC47),0),ROUND(PRODUCT(V48,AC7:AC47),1))</f>
        <v>#DIV/0!</v>
      </c>
      <c r="W49" s="3302"/>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319" t="str">
        <f>A50</f>
        <v>估价对象XX用房的比较价值（楼面单价，元/平方米）</v>
      </c>
      <c r="Q50" s="3320"/>
      <c r="R50" s="3321" t="e">
        <f>IF(F1="售价",ROUND(AVERAGE(R49:V49),0),ROUND(AVERAGE(R49:V49),1))</f>
        <v>#DIV/0!</v>
      </c>
      <c r="S50" s="3321"/>
      <c r="T50" s="3321"/>
      <c r="U50" s="3321"/>
      <c r="V50" s="3321"/>
      <c r="W50" s="3321"/>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2"/>
      <c r="Q58" s="504"/>
    </row>
    <row r="59" spans="1:29" s="508" customFormat="1" ht="15">
      <c r="A59" s="505" t="s">
        <v>2544</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2584</v>
      </c>
      <c r="B64" s="528" t="s">
        <v>2550</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2695</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2559</v>
      </c>
      <c r="B101" s="528" t="s">
        <v>2608</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2610</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2612</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2613</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2614</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2697</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2616</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0" t="s">
        <v>2698</v>
      </c>
      <c r="C1" s="1623" t="s">
        <v>2526</v>
      </c>
      <c r="D1" s="1624"/>
      <c r="E1" s="1633"/>
      <c r="F1" s="2585"/>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44886.34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35" t="s">
        <v>2642</v>
      </c>
      <c r="D4" s="3248"/>
      <c r="E4" s="3249" t="s">
        <v>2643</v>
      </c>
      <c r="F4" s="3250"/>
      <c r="G4" s="3235" t="s">
        <v>2644</v>
      </c>
      <c r="H4" s="3248"/>
      <c r="I4" s="3235" t="s">
        <v>2645</v>
      </c>
      <c r="J4" s="3248"/>
      <c r="K4" s="610" t="s">
        <v>2646</v>
      </c>
      <c r="L4" s="1133"/>
      <c r="M4" s="1134"/>
      <c r="N4" s="1134"/>
      <c r="O4" s="1134"/>
      <c r="P4" s="3251" t="s">
        <v>2647</v>
      </c>
      <c r="Q4" s="3252"/>
      <c r="R4" s="3257" t="s">
        <v>2643</v>
      </c>
      <c r="S4" s="3258"/>
      <c r="T4" s="3257" t="s">
        <v>2644</v>
      </c>
      <c r="U4" s="3258"/>
      <c r="V4" s="3244" t="s">
        <v>2645</v>
      </c>
      <c r="W4" s="3244"/>
      <c r="X4" s="1816"/>
      <c r="Y4" s="3257" t="s">
        <v>2647</v>
      </c>
      <c r="Z4" s="3258"/>
      <c r="AA4" s="3245" t="s">
        <v>2643</v>
      </c>
      <c r="AB4" s="3246" t="s">
        <v>2644</v>
      </c>
      <c r="AC4" s="3245" t="s">
        <v>2645</v>
      </c>
    </row>
    <row r="5" spans="1:29" ht="15">
      <c r="A5" s="404"/>
      <c r="B5" s="405"/>
      <c r="C5" s="3270" t="s">
        <v>2538</v>
      </c>
      <c r="D5" s="3266"/>
      <c r="E5" s="3317" t="s">
        <v>2539</v>
      </c>
      <c r="F5" s="3318"/>
      <c r="G5" s="3270" t="s">
        <v>2540</v>
      </c>
      <c r="H5" s="3266"/>
      <c r="I5" s="3270" t="s">
        <v>2541</v>
      </c>
      <c r="J5" s="3266"/>
      <c r="K5" s="610"/>
      <c r="L5" s="1133"/>
      <c r="M5" s="1134"/>
      <c r="N5" s="1134"/>
      <c r="O5" s="1134"/>
      <c r="P5" s="3253"/>
      <c r="Q5" s="3254"/>
      <c r="R5" s="3259"/>
      <c r="S5" s="3260"/>
      <c r="T5" s="3259"/>
      <c r="U5" s="3260"/>
      <c r="V5" s="3244"/>
      <c r="W5" s="3244"/>
      <c r="X5" s="1816"/>
      <c r="Y5" s="3259"/>
      <c r="Z5" s="3260"/>
      <c r="AA5" s="3246"/>
      <c r="AB5" s="3246"/>
      <c r="AC5" s="3246"/>
    </row>
    <row r="6" spans="1:29" ht="15.75" thickBot="1">
      <c r="A6" s="406"/>
      <c r="B6" s="407"/>
      <c r="C6" s="3309" t="s">
        <v>2542</v>
      </c>
      <c r="D6" s="3264"/>
      <c r="E6" s="3313" t="s">
        <v>2542</v>
      </c>
      <c r="F6" s="3314"/>
      <c r="G6" s="3309" t="s">
        <v>2542</v>
      </c>
      <c r="H6" s="3264"/>
      <c r="I6" s="3309" t="s">
        <v>2542</v>
      </c>
      <c r="J6" s="3264"/>
      <c r="K6" s="610" t="s">
        <v>2543</v>
      </c>
      <c r="L6" s="1133"/>
      <c r="M6" s="1134"/>
      <c r="N6" s="1134"/>
      <c r="O6" s="1134"/>
      <c r="P6" s="3255"/>
      <c r="Q6" s="3256"/>
      <c r="R6" s="3259"/>
      <c r="S6" s="3260"/>
      <c r="T6" s="3261"/>
      <c r="U6" s="3262"/>
      <c r="V6" s="3244"/>
      <c r="W6" s="3244"/>
      <c r="X6" s="1816"/>
      <c r="Y6" s="3261"/>
      <c r="Z6" s="3262"/>
      <c r="AA6" s="3247"/>
      <c r="AB6" s="3247"/>
      <c r="AC6" s="3247"/>
    </row>
    <row r="7" spans="1:29" s="117" customFormat="1" ht="15.75" thickBot="1">
      <c r="A7" s="408" t="s">
        <v>2544</v>
      </c>
      <c r="B7" s="409"/>
      <c r="C7" s="410">
        <f>'数据-取费表'!B2</f>
        <v>43248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7" t="s">
        <v>2545</v>
      </c>
      <c r="Q7" s="3269"/>
      <c r="R7" s="770" t="s">
        <v>17</v>
      </c>
      <c r="S7" s="771">
        <f t="shared" ref="S7:S15" si="0">F7</f>
        <v>0</v>
      </c>
      <c r="T7" s="770" t="s">
        <v>17</v>
      </c>
      <c r="U7" s="771">
        <f t="shared" ref="U7:U15" si="1">H7</f>
        <v>0</v>
      </c>
      <c r="V7" s="770" t="s">
        <v>17</v>
      </c>
      <c r="W7" s="771">
        <f t="shared" ref="W7:W15" si="2">J7</f>
        <v>0</v>
      </c>
      <c r="X7" s="772"/>
      <c r="Y7" s="3267" t="s">
        <v>2545</v>
      </c>
      <c r="Z7" s="326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7" t="s">
        <v>2548</v>
      </c>
      <c r="Q8" s="3268"/>
      <c r="R8" s="770" t="s">
        <v>17</v>
      </c>
      <c r="S8" s="771">
        <f t="shared" si="0"/>
        <v>0</v>
      </c>
      <c r="T8" s="770" t="s">
        <v>17</v>
      </c>
      <c r="U8" s="771">
        <f t="shared" si="1"/>
        <v>0</v>
      </c>
      <c r="V8" s="770" t="s">
        <v>17</v>
      </c>
      <c r="W8" s="771">
        <f t="shared" si="2"/>
        <v>0</v>
      </c>
      <c r="X8" s="772"/>
      <c r="Y8" s="3267" t="s">
        <v>2548</v>
      </c>
      <c r="Z8" s="326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8" t="s">
        <v>2551</v>
      </c>
      <c r="Q9" s="1798" t="str">
        <f t="shared" ref="Q9:Q15" si="6">B9</f>
        <v>用途</v>
      </c>
      <c r="R9" s="770" t="s">
        <v>17</v>
      </c>
      <c r="S9" s="771">
        <f t="shared" si="0"/>
        <v>100</v>
      </c>
      <c r="T9" s="770" t="s">
        <v>17</v>
      </c>
      <c r="U9" s="771">
        <f t="shared" si="1"/>
        <v>100</v>
      </c>
      <c r="V9" s="770" t="s">
        <v>17</v>
      </c>
      <c r="W9" s="771">
        <f t="shared" si="2"/>
        <v>100</v>
      </c>
      <c r="X9" s="772"/>
      <c r="Y9" s="306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8"/>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8"/>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38"/>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38"/>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0" t="s">
        <v>2556</v>
      </c>
      <c r="Q15" s="1813" t="str">
        <f t="shared" si="6"/>
        <v>产业集聚程度</v>
      </c>
      <c r="R15" s="774" t="s">
        <v>17</v>
      </c>
      <c r="S15" s="775">
        <f t="shared" si="0"/>
        <v>100</v>
      </c>
      <c r="T15" s="774" t="s">
        <v>17</v>
      </c>
      <c r="U15" s="775">
        <f t="shared" si="1"/>
        <v>100</v>
      </c>
      <c r="V15" s="774" t="s">
        <v>17</v>
      </c>
      <c r="W15" s="775">
        <f t="shared" si="2"/>
        <v>100</v>
      </c>
      <c r="X15" s="1816"/>
      <c r="Y15" s="3240"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1"/>
      <c r="Q16" s="1813"/>
      <c r="R16" s="774"/>
      <c r="S16" s="775"/>
      <c r="T16" s="774"/>
      <c r="U16" s="775"/>
      <c r="V16" s="774"/>
      <c r="W16" s="775"/>
      <c r="X16" s="1816"/>
      <c r="Y16" s="3241"/>
      <c r="Z16" s="1817"/>
      <c r="AA16" s="1814">
        <v>1</v>
      </c>
      <c r="AB16" s="1814">
        <v>1</v>
      </c>
      <c r="AC16" s="1814">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1"/>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41"/>
      <c r="Q18" s="1813"/>
      <c r="R18" s="774"/>
      <c r="S18" s="775"/>
      <c r="T18" s="774"/>
      <c r="U18" s="775"/>
      <c r="V18" s="774"/>
      <c r="W18" s="775"/>
      <c r="X18" s="1816"/>
      <c r="Y18" s="3241"/>
      <c r="Z18" s="1817"/>
      <c r="AA18" s="1814">
        <v>1</v>
      </c>
      <c r="AB18" s="1814">
        <v>1</v>
      </c>
      <c r="AC18" s="1814">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1"/>
      <c r="Q19" s="1813" t="str">
        <f>B19</f>
        <v>公共配套设施</v>
      </c>
      <c r="R19" s="774" t="s">
        <v>17</v>
      </c>
      <c r="S19" s="775">
        <f>F19</f>
        <v>100</v>
      </c>
      <c r="T19" s="774" t="s">
        <v>17</v>
      </c>
      <c r="U19" s="775">
        <f>H19</f>
        <v>100</v>
      </c>
      <c r="V19" s="774" t="s">
        <v>17</v>
      </c>
      <c r="W19" s="775">
        <f>J19</f>
        <v>100</v>
      </c>
      <c r="X19" s="1816"/>
      <c r="Y19" s="3241"/>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41"/>
      <c r="Q20" s="1813"/>
      <c r="R20" s="774"/>
      <c r="S20" s="775"/>
      <c r="T20" s="774"/>
      <c r="U20" s="775"/>
      <c r="V20" s="774"/>
      <c r="W20" s="775"/>
      <c r="X20" s="1816"/>
      <c r="Y20" s="3241"/>
      <c r="Z20" s="1817"/>
      <c r="AA20" s="1814">
        <v>1</v>
      </c>
      <c r="AB20" s="1814">
        <v>1</v>
      </c>
      <c r="AC20" s="1814">
        <v>1</v>
      </c>
    </row>
    <row r="21" spans="1:29" ht="28.5">
      <c r="A21" s="428"/>
      <c r="B21" s="1387"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1"/>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41"/>
      <c r="Q22" s="1813"/>
      <c r="R22" s="774"/>
      <c r="S22" s="775"/>
      <c r="T22" s="774"/>
      <c r="U22" s="775"/>
      <c r="V22" s="774"/>
      <c r="W22" s="775"/>
      <c r="X22" s="1816"/>
      <c r="Y22" s="3241"/>
      <c r="Z22" s="1817"/>
      <c r="AA22" s="1814">
        <v>1</v>
      </c>
      <c r="AB22" s="1814">
        <v>1</v>
      </c>
      <c r="AC22" s="1814">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1"/>
      <c r="Q23" s="1813" t="str">
        <f>B23</f>
        <v>环境质量</v>
      </c>
      <c r="R23" s="774" t="s">
        <v>17</v>
      </c>
      <c r="S23" s="775">
        <f>F23</f>
        <v>100</v>
      </c>
      <c r="T23" s="774" t="s">
        <v>17</v>
      </c>
      <c r="U23" s="775">
        <f>H23</f>
        <v>100</v>
      </c>
      <c r="V23" s="774" t="s">
        <v>17</v>
      </c>
      <c r="W23" s="775">
        <f>J23</f>
        <v>100</v>
      </c>
      <c r="X23" s="1816"/>
      <c r="Y23" s="3241"/>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41"/>
      <c r="Q24" s="1813"/>
      <c r="R24" s="774"/>
      <c r="S24" s="775"/>
      <c r="T24" s="774"/>
      <c r="U24" s="775"/>
      <c r="V24" s="774"/>
      <c r="W24" s="775"/>
      <c r="X24" s="1816"/>
      <c r="Y24" s="324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1"/>
      <c r="Q25" s="1813">
        <f>B25</f>
        <v>111</v>
      </c>
      <c r="R25" s="774" t="s">
        <v>17</v>
      </c>
      <c r="S25" s="775">
        <f>F25</f>
        <v>100</v>
      </c>
      <c r="T25" s="774" t="s">
        <v>17</v>
      </c>
      <c r="U25" s="775">
        <f>H25</f>
        <v>100</v>
      </c>
      <c r="V25" s="774" t="s">
        <v>17</v>
      </c>
      <c r="W25" s="775">
        <f>J25</f>
        <v>100</v>
      </c>
      <c r="X25" s="1816"/>
      <c r="Y25" s="324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1"/>
      <c r="Q26" s="1813">
        <f t="shared" ref="Q26:Q40" si="11">B26</f>
        <v>111</v>
      </c>
      <c r="R26" s="774" t="s">
        <v>17</v>
      </c>
      <c r="S26" s="775">
        <f>F26</f>
        <v>100</v>
      </c>
      <c r="T26" s="774" t="s">
        <v>17</v>
      </c>
      <c r="U26" s="775">
        <f>H26</f>
        <v>100</v>
      </c>
      <c r="V26" s="774" t="s">
        <v>17</v>
      </c>
      <c r="W26" s="775">
        <f>J26</f>
        <v>100</v>
      </c>
      <c r="X26" s="1816"/>
      <c r="Y26" s="324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1"/>
      <c r="Q27" s="1798">
        <f t="shared" si="11"/>
        <v>111</v>
      </c>
      <c r="R27" s="770" t="s">
        <v>17</v>
      </c>
      <c r="S27" s="771">
        <f>F27</f>
        <v>100</v>
      </c>
      <c r="T27" s="770" t="s">
        <v>17</v>
      </c>
      <c r="U27" s="771">
        <f>H27</f>
        <v>100</v>
      </c>
      <c r="V27" s="770" t="s">
        <v>17</v>
      </c>
      <c r="W27" s="771">
        <f>J27</f>
        <v>100</v>
      </c>
      <c r="X27" s="772"/>
      <c r="Y27" s="324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1"/>
      <c r="Q28" s="1813">
        <f t="shared" si="11"/>
        <v>111</v>
      </c>
      <c r="R28" s="774" t="s">
        <v>17</v>
      </c>
      <c r="S28" s="775">
        <f t="shared" ref="S28:S40" si="12">F28</f>
        <v>100</v>
      </c>
      <c r="T28" s="774" t="s">
        <v>17</v>
      </c>
      <c r="U28" s="775">
        <f t="shared" ref="U28:U40" si="13">H28</f>
        <v>100</v>
      </c>
      <c r="V28" s="774" t="s">
        <v>17</v>
      </c>
      <c r="W28" s="775">
        <f t="shared" ref="W28:W40" si="14">J28</f>
        <v>100</v>
      </c>
      <c r="X28" s="1816"/>
      <c r="Y28" s="3241"/>
      <c r="Z28" s="1817">
        <f t="shared" ref="Z28:Z40" si="15">Q28</f>
        <v>111</v>
      </c>
      <c r="AA28" s="1814">
        <f t="shared" si="3"/>
        <v>1</v>
      </c>
      <c r="AB28" s="1814">
        <f t="shared" si="4"/>
        <v>1</v>
      </c>
      <c r="AC28" s="1814">
        <f t="shared" si="5"/>
        <v>1</v>
      </c>
    </row>
    <row r="29" spans="1:29" ht="1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42" t="s">
        <v>2561</v>
      </c>
      <c r="Q29" s="1813" t="str">
        <f t="shared" si="11"/>
        <v>建筑类型</v>
      </c>
      <c r="R29" s="774" t="s">
        <v>17</v>
      </c>
      <c r="S29" s="775">
        <f t="shared" si="12"/>
        <v>100</v>
      </c>
      <c r="T29" s="774" t="s">
        <v>17</v>
      </c>
      <c r="U29" s="775">
        <f t="shared" si="13"/>
        <v>100</v>
      </c>
      <c r="V29" s="774" t="s">
        <v>17</v>
      </c>
      <c r="W29" s="775">
        <f t="shared" si="14"/>
        <v>100</v>
      </c>
      <c r="X29" s="1816"/>
      <c r="Y29" s="3243"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3"/>
      <c r="Q31" s="1813" t="str">
        <f t="shared" si="11"/>
        <v>建筑结构</v>
      </c>
      <c r="R31" s="774" t="s">
        <v>17</v>
      </c>
      <c r="S31" s="775">
        <f t="shared" si="12"/>
        <v>100</v>
      </c>
      <c r="T31" s="774" t="s">
        <v>17</v>
      </c>
      <c r="U31" s="775">
        <f t="shared" si="13"/>
        <v>100</v>
      </c>
      <c r="V31" s="774" t="s">
        <v>17</v>
      </c>
      <c r="W31" s="775">
        <f t="shared" si="14"/>
        <v>100</v>
      </c>
      <c r="X31" s="1816"/>
      <c r="Y31" s="3243"/>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3"/>
      <c r="Q32" s="1813" t="str">
        <f t="shared" si="11"/>
        <v>公共部分装修</v>
      </c>
      <c r="R32" s="774" t="s">
        <v>17</v>
      </c>
      <c r="S32" s="775">
        <f t="shared" si="12"/>
        <v>100</v>
      </c>
      <c r="T32" s="774" t="s">
        <v>17</v>
      </c>
      <c r="U32" s="775">
        <f t="shared" si="13"/>
        <v>100</v>
      </c>
      <c r="V32" s="774" t="s">
        <v>17</v>
      </c>
      <c r="W32" s="775">
        <f t="shared" si="14"/>
        <v>100</v>
      </c>
      <c r="X32" s="1816"/>
      <c r="Y32" s="3243"/>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3"/>
      <c r="Q33" s="1813" t="str">
        <f t="shared" si="11"/>
        <v>成新度</v>
      </c>
      <c r="R33" s="774" t="s">
        <v>17</v>
      </c>
      <c r="S33" s="775" t="e">
        <f t="shared" si="12"/>
        <v>#N/A</v>
      </c>
      <c r="T33" s="774" t="s">
        <v>17</v>
      </c>
      <c r="U33" s="775" t="e">
        <f t="shared" si="13"/>
        <v>#N/A</v>
      </c>
      <c r="V33" s="774" t="s">
        <v>17</v>
      </c>
      <c r="W33" s="775" t="e">
        <f t="shared" si="14"/>
        <v>#N/A</v>
      </c>
      <c r="X33" s="1816"/>
      <c r="Y33" s="3243"/>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3"/>
      <c r="Q34" s="1798"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3" t="s">
        <v>2561</v>
      </c>
      <c r="Q35" s="1813" t="str">
        <f t="shared" si="11"/>
        <v>市政基础设施</v>
      </c>
      <c r="R35" s="774" t="s">
        <v>17</v>
      </c>
      <c r="S35" s="775">
        <f t="shared" si="12"/>
        <v>100</v>
      </c>
      <c r="T35" s="774" t="s">
        <v>17</v>
      </c>
      <c r="U35" s="775">
        <f t="shared" si="13"/>
        <v>100</v>
      </c>
      <c r="V35" s="774" t="s">
        <v>17</v>
      </c>
      <c r="W35" s="775">
        <f t="shared" si="14"/>
        <v>100</v>
      </c>
      <c r="X35" s="1816"/>
      <c r="Y35" s="3243"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3"/>
      <c r="Q36" s="1813" t="str">
        <f t="shared" si="11"/>
        <v>内部装修</v>
      </c>
      <c r="R36" s="774" t="s">
        <v>17</v>
      </c>
      <c r="S36" s="775">
        <f t="shared" si="12"/>
        <v>100</v>
      </c>
      <c r="T36" s="774" t="s">
        <v>17</v>
      </c>
      <c r="U36" s="775">
        <f t="shared" si="13"/>
        <v>100</v>
      </c>
      <c r="V36" s="774" t="s">
        <v>17</v>
      </c>
      <c r="W36" s="775">
        <f t="shared" si="14"/>
        <v>100</v>
      </c>
      <c r="X36" s="1816"/>
      <c r="Y36" s="3243"/>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3"/>
      <c r="Q37" s="1813" t="str">
        <f t="shared" si="11"/>
        <v>内部装修状况</v>
      </c>
      <c r="R37" s="774" t="s">
        <v>17</v>
      </c>
      <c r="S37" s="775">
        <f t="shared" si="12"/>
        <v>100</v>
      </c>
      <c r="T37" s="774" t="s">
        <v>17</v>
      </c>
      <c r="U37" s="775">
        <f t="shared" si="13"/>
        <v>100</v>
      </c>
      <c r="V37" s="774" t="s">
        <v>17</v>
      </c>
      <c r="W37" s="775">
        <f t="shared" si="14"/>
        <v>100</v>
      </c>
      <c r="X37" s="1816"/>
      <c r="Y37" s="324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3"/>
      <c r="Q39" s="1813">
        <f t="shared" si="11"/>
        <v>111</v>
      </c>
      <c r="R39" s="774" t="s">
        <v>17</v>
      </c>
      <c r="S39" s="775">
        <f t="shared" si="12"/>
        <v>100</v>
      </c>
      <c r="T39" s="774" t="s">
        <v>17</v>
      </c>
      <c r="U39" s="775">
        <f t="shared" si="13"/>
        <v>100</v>
      </c>
      <c r="V39" s="774" t="s">
        <v>17</v>
      </c>
      <c r="W39" s="775">
        <f t="shared" si="14"/>
        <v>100</v>
      </c>
      <c r="X39" s="1816"/>
      <c r="Y39" s="3243"/>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6"/>
      <c r="Q40" s="1813">
        <f t="shared" si="11"/>
        <v>111</v>
      </c>
      <c r="R40" s="774" t="s">
        <v>17</v>
      </c>
      <c r="S40" s="775">
        <f t="shared" si="12"/>
        <v>100</v>
      </c>
      <c r="T40" s="774" t="s">
        <v>17</v>
      </c>
      <c r="U40" s="775">
        <f t="shared" si="13"/>
        <v>100</v>
      </c>
      <c r="V40" s="774" t="s">
        <v>17</v>
      </c>
      <c r="W40" s="775">
        <f t="shared" si="14"/>
        <v>100</v>
      </c>
      <c r="X40" s="1816"/>
      <c r="Y40" s="3306"/>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238" t="str">
        <f>A41</f>
        <v>成交单价（元/平方米）</v>
      </c>
      <c r="Q41" s="3238"/>
      <c r="R41" s="3302">
        <f>E41</f>
        <v>0</v>
      </c>
      <c r="S41" s="3302"/>
      <c r="T41" s="3302">
        <f>G41</f>
        <v>0</v>
      </c>
      <c r="U41" s="3302"/>
      <c r="V41" s="3302">
        <f>I41</f>
        <v>0</v>
      </c>
      <c r="W41" s="3302"/>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238" t="str">
        <f>A42</f>
        <v>比较价值（元/平方米）</v>
      </c>
      <c r="Q42" s="3238"/>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232" t="str">
        <f>A43</f>
        <v>估价对象XX用房的比较价值（楼面单价，元/平方米）</v>
      </c>
      <c r="Q43" s="3233"/>
      <c r="R43" s="3301" t="e">
        <f>IF(F1="售价",ROUND(AVERAGE(R42:V42),0),ROUND(AVERAGE(R42:V42),1))</f>
        <v>#DIV/0!</v>
      </c>
      <c r="S43" s="3301"/>
      <c r="T43" s="3301"/>
      <c r="U43" s="3301"/>
      <c r="V43" s="3301"/>
      <c r="W43" s="33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5"/>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235" t="s">
        <v>2642</v>
      </c>
      <c r="D4" s="3248"/>
      <c r="E4" s="3249" t="s">
        <v>2643</v>
      </c>
      <c r="F4" s="3250"/>
      <c r="G4" s="3235" t="s">
        <v>2644</v>
      </c>
      <c r="H4" s="3248"/>
      <c r="I4" s="3235" t="s">
        <v>2645</v>
      </c>
      <c r="J4" s="3248"/>
      <c r="K4" s="610" t="s">
        <v>2646</v>
      </c>
      <c r="L4" s="1133"/>
      <c r="M4" s="1134"/>
      <c r="N4" s="1134"/>
      <c r="O4" s="1134"/>
      <c r="P4" s="3251" t="s">
        <v>2647</v>
      </c>
      <c r="Q4" s="3252"/>
      <c r="R4" s="3257" t="s">
        <v>2643</v>
      </c>
      <c r="S4" s="3258"/>
      <c r="T4" s="3257" t="s">
        <v>2644</v>
      </c>
      <c r="U4" s="3258"/>
      <c r="V4" s="3244" t="s">
        <v>2645</v>
      </c>
      <c r="W4" s="3244"/>
      <c r="X4" s="1816"/>
      <c r="Y4" s="3257" t="s">
        <v>2647</v>
      </c>
      <c r="Z4" s="3258"/>
      <c r="AA4" s="3245" t="s">
        <v>2643</v>
      </c>
      <c r="AB4" s="3246" t="s">
        <v>2644</v>
      </c>
      <c r="AC4" s="3245" t="s">
        <v>2645</v>
      </c>
    </row>
    <row r="5" spans="1:29" ht="15">
      <c r="A5" s="404"/>
      <c r="B5" s="405"/>
      <c r="C5" s="3270" t="s">
        <v>2538</v>
      </c>
      <c r="D5" s="3266"/>
      <c r="E5" s="3317" t="s">
        <v>2539</v>
      </c>
      <c r="F5" s="3318"/>
      <c r="G5" s="3270" t="s">
        <v>2540</v>
      </c>
      <c r="H5" s="3266"/>
      <c r="I5" s="3270" t="s">
        <v>2541</v>
      </c>
      <c r="J5" s="3266"/>
      <c r="K5" s="610"/>
      <c r="L5" s="1133"/>
      <c r="M5" s="1134"/>
      <c r="N5" s="1134"/>
      <c r="O5" s="1134"/>
      <c r="P5" s="3253"/>
      <c r="Q5" s="3254"/>
      <c r="R5" s="3259"/>
      <c r="S5" s="3260"/>
      <c r="T5" s="3259"/>
      <c r="U5" s="3260"/>
      <c r="V5" s="3244"/>
      <c r="W5" s="3244"/>
      <c r="X5" s="1816"/>
      <c r="Y5" s="3259"/>
      <c r="Z5" s="3260"/>
      <c r="AA5" s="3246"/>
      <c r="AB5" s="3246"/>
      <c r="AC5" s="3246"/>
    </row>
    <row r="6" spans="1:29" ht="15.75" thickBot="1">
      <c r="A6" s="406"/>
      <c r="B6" s="407"/>
      <c r="C6" s="3309" t="s">
        <v>2542</v>
      </c>
      <c r="D6" s="3264"/>
      <c r="E6" s="3313" t="s">
        <v>2542</v>
      </c>
      <c r="F6" s="3314"/>
      <c r="G6" s="3309" t="s">
        <v>2542</v>
      </c>
      <c r="H6" s="3264"/>
      <c r="I6" s="3309" t="s">
        <v>2542</v>
      </c>
      <c r="J6" s="3264"/>
      <c r="K6" s="610" t="s">
        <v>2543</v>
      </c>
      <c r="L6" s="1133"/>
      <c r="M6" s="1134"/>
      <c r="N6" s="1134"/>
      <c r="O6" s="1134"/>
      <c r="P6" s="3255"/>
      <c r="Q6" s="3256"/>
      <c r="R6" s="3259"/>
      <c r="S6" s="3260"/>
      <c r="T6" s="3261"/>
      <c r="U6" s="3262"/>
      <c r="V6" s="3244"/>
      <c r="W6" s="3244"/>
      <c r="X6" s="1816"/>
      <c r="Y6" s="3261"/>
      <c r="Z6" s="3262"/>
      <c r="AA6" s="3247"/>
      <c r="AB6" s="3247"/>
      <c r="AC6" s="3247"/>
    </row>
    <row r="7" spans="1:29" s="117" customFormat="1" ht="15.75" thickBot="1">
      <c r="A7" s="408" t="s">
        <v>2544</v>
      </c>
      <c r="B7" s="409"/>
      <c r="C7" s="410">
        <f>'数据-取费表'!B2</f>
        <v>43248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7" t="s">
        <v>2545</v>
      </c>
      <c r="Q7" s="3269"/>
      <c r="R7" s="770" t="s">
        <v>17</v>
      </c>
      <c r="S7" s="771">
        <f t="shared" ref="S7:S14" si="0">F7</f>
        <v>0</v>
      </c>
      <c r="T7" s="770" t="s">
        <v>17</v>
      </c>
      <c r="U7" s="771">
        <f t="shared" ref="U7:U14" si="1">H7</f>
        <v>0</v>
      </c>
      <c r="V7" s="770" t="s">
        <v>17</v>
      </c>
      <c r="W7" s="771">
        <f t="shared" ref="W7:W14" si="2">J7</f>
        <v>0</v>
      </c>
      <c r="X7" s="772"/>
      <c r="Y7" s="3267" t="s">
        <v>2545</v>
      </c>
      <c r="Z7" s="326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7" t="s">
        <v>2548</v>
      </c>
      <c r="Q8" s="3268"/>
      <c r="R8" s="770" t="s">
        <v>17</v>
      </c>
      <c r="S8" s="771">
        <f t="shared" si="0"/>
        <v>0</v>
      </c>
      <c r="T8" s="770" t="s">
        <v>17</v>
      </c>
      <c r="U8" s="771">
        <f t="shared" si="1"/>
        <v>0</v>
      </c>
      <c r="V8" s="770" t="s">
        <v>17</v>
      </c>
      <c r="W8" s="771">
        <f t="shared" si="2"/>
        <v>0</v>
      </c>
      <c r="X8" s="772"/>
      <c r="Y8" s="3267" t="s">
        <v>2548</v>
      </c>
      <c r="Z8" s="326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8" t="s">
        <v>2551</v>
      </c>
      <c r="Q9" s="1798" t="str">
        <f t="shared" ref="Q9:Q14" si="6">B9</f>
        <v>用途</v>
      </c>
      <c r="R9" s="770" t="s">
        <v>17</v>
      </c>
      <c r="S9" s="771">
        <f t="shared" si="0"/>
        <v>100</v>
      </c>
      <c r="T9" s="770" t="s">
        <v>17</v>
      </c>
      <c r="U9" s="771">
        <f t="shared" si="1"/>
        <v>100</v>
      </c>
      <c r="V9" s="770" t="s">
        <v>17</v>
      </c>
      <c r="W9" s="771">
        <f t="shared" si="2"/>
        <v>100</v>
      </c>
      <c r="X9" s="772"/>
      <c r="Y9" s="306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8"/>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8"/>
      <c r="Q11" s="1798">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8"/>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8"/>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0" t="s">
        <v>2556</v>
      </c>
      <c r="Q14" s="1813" t="str">
        <f t="shared" si="6"/>
        <v>交通便捷度</v>
      </c>
      <c r="R14" s="774" t="s">
        <v>17</v>
      </c>
      <c r="S14" s="775">
        <f t="shared" si="0"/>
        <v>100</v>
      </c>
      <c r="T14" s="774" t="s">
        <v>17</v>
      </c>
      <c r="U14" s="775">
        <f t="shared" si="1"/>
        <v>100</v>
      </c>
      <c r="V14" s="774" t="s">
        <v>17</v>
      </c>
      <c r="W14" s="775">
        <f t="shared" si="2"/>
        <v>100</v>
      </c>
      <c r="X14" s="1816"/>
      <c r="Y14" s="3240"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1"/>
      <c r="Q15" s="1813"/>
      <c r="R15" s="774"/>
      <c r="S15" s="775"/>
      <c r="T15" s="774"/>
      <c r="U15" s="775"/>
      <c r="V15" s="774"/>
      <c r="W15" s="775"/>
      <c r="X15" s="1816"/>
      <c r="Y15" s="3241"/>
      <c r="Z15" s="1817"/>
      <c r="AA15" s="1814">
        <v>1</v>
      </c>
      <c r="AB15" s="1814">
        <v>1</v>
      </c>
      <c r="AC15" s="1814">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1"/>
      <c r="Q16" s="1813" t="str">
        <f>B16</f>
        <v>公共配套设施</v>
      </c>
      <c r="R16" s="774" t="s">
        <v>17</v>
      </c>
      <c r="S16" s="775">
        <f>F16</f>
        <v>100</v>
      </c>
      <c r="T16" s="774" t="s">
        <v>17</v>
      </c>
      <c r="U16" s="775">
        <f>H16</f>
        <v>100</v>
      </c>
      <c r="V16" s="774" t="s">
        <v>17</v>
      </c>
      <c r="W16" s="775">
        <f>J16</f>
        <v>100</v>
      </c>
      <c r="X16" s="1816"/>
      <c r="Y16" s="3241"/>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41"/>
      <c r="Q17" s="1813"/>
      <c r="R17" s="774"/>
      <c r="S17" s="775"/>
      <c r="T17" s="774"/>
      <c r="U17" s="775"/>
      <c r="V17" s="774"/>
      <c r="W17" s="775"/>
      <c r="X17" s="1816"/>
      <c r="Y17" s="3241"/>
      <c r="Z17" s="1817"/>
      <c r="AA17" s="1814">
        <v>1</v>
      </c>
      <c r="AB17" s="1814">
        <v>1</v>
      </c>
      <c r="AC17" s="1814">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1"/>
      <c r="Q18" s="1813" t="str">
        <f>B18</f>
        <v>基础设施水平</v>
      </c>
      <c r="R18" s="774" t="s">
        <v>17</v>
      </c>
      <c r="S18" s="775">
        <f>F18</f>
        <v>100</v>
      </c>
      <c r="T18" s="774" t="s">
        <v>17</v>
      </c>
      <c r="U18" s="775">
        <f>H18</f>
        <v>100</v>
      </c>
      <c r="V18" s="774" t="s">
        <v>17</v>
      </c>
      <c r="W18" s="775">
        <f>J18</f>
        <v>100</v>
      </c>
      <c r="X18" s="1816"/>
      <c r="Y18" s="3241"/>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41"/>
      <c r="Q19" s="1813"/>
      <c r="R19" s="774"/>
      <c r="S19" s="775"/>
      <c r="T19" s="774"/>
      <c r="U19" s="775"/>
      <c r="V19" s="774"/>
      <c r="W19" s="775"/>
      <c r="X19" s="1816"/>
      <c r="Y19" s="3241"/>
      <c r="Z19" s="1817"/>
      <c r="AA19" s="1814">
        <v>1</v>
      </c>
      <c r="AB19" s="1814">
        <v>1</v>
      </c>
      <c r="AC19" s="1814">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1"/>
      <c r="Q20" s="1813" t="str">
        <f>B20</f>
        <v>自然及人文环境</v>
      </c>
      <c r="R20" s="774" t="s">
        <v>17</v>
      </c>
      <c r="S20" s="775">
        <f>F20</f>
        <v>100</v>
      </c>
      <c r="T20" s="774" t="s">
        <v>17</v>
      </c>
      <c r="U20" s="775">
        <f>H20</f>
        <v>100</v>
      </c>
      <c r="V20" s="774" t="s">
        <v>17</v>
      </c>
      <c r="W20" s="775">
        <f>J20</f>
        <v>100</v>
      </c>
      <c r="X20" s="1816"/>
      <c r="Y20" s="324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1"/>
      <c r="Q21" s="1813"/>
      <c r="R21" s="774"/>
      <c r="S21" s="775"/>
      <c r="T21" s="774"/>
      <c r="U21" s="775"/>
      <c r="V21" s="774"/>
      <c r="W21" s="775"/>
      <c r="X21" s="1816"/>
      <c r="Y21" s="3241"/>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1"/>
      <c r="Q22" s="1813" t="str">
        <f>B22</f>
        <v>楼层</v>
      </c>
      <c r="R22" s="774" t="s">
        <v>17</v>
      </c>
      <c r="S22" s="775">
        <f>F22</f>
        <v>100</v>
      </c>
      <c r="T22" s="774" t="s">
        <v>17</v>
      </c>
      <c r="U22" s="775">
        <f>H22</f>
        <v>100</v>
      </c>
      <c r="V22" s="774" t="s">
        <v>17</v>
      </c>
      <c r="W22" s="775">
        <f>J22</f>
        <v>100</v>
      </c>
      <c r="X22" s="1816"/>
      <c r="Y22" s="324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1"/>
      <c r="Q23" s="1813">
        <f>B23</f>
        <v>111</v>
      </c>
      <c r="R23" s="774" t="s">
        <v>17</v>
      </c>
      <c r="S23" s="775">
        <f>F23</f>
        <v>100</v>
      </c>
      <c r="T23" s="774" t="s">
        <v>17</v>
      </c>
      <c r="U23" s="775">
        <f>H23</f>
        <v>100</v>
      </c>
      <c r="V23" s="774" t="s">
        <v>17</v>
      </c>
      <c r="W23" s="775">
        <f>J23</f>
        <v>100</v>
      </c>
      <c r="X23" s="1816"/>
      <c r="Y23" s="324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1"/>
      <c r="Q24" s="1813">
        <f t="shared" ref="Q24:Q36" si="11">B24</f>
        <v>111</v>
      </c>
      <c r="R24" s="774" t="s">
        <v>17</v>
      </c>
      <c r="S24" s="775">
        <f>F24</f>
        <v>100</v>
      </c>
      <c r="T24" s="774" t="s">
        <v>17</v>
      </c>
      <c r="U24" s="775">
        <f>H24</f>
        <v>100</v>
      </c>
      <c r="V24" s="774" t="s">
        <v>17</v>
      </c>
      <c r="W24" s="775">
        <f>J24</f>
        <v>100</v>
      </c>
      <c r="X24" s="1816"/>
      <c r="Y24" s="324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1"/>
      <c r="Q25" s="1798">
        <f t="shared" si="11"/>
        <v>111</v>
      </c>
      <c r="R25" s="770" t="s">
        <v>17</v>
      </c>
      <c r="S25" s="771">
        <f>F25</f>
        <v>100</v>
      </c>
      <c r="T25" s="770" t="s">
        <v>17</v>
      </c>
      <c r="U25" s="771">
        <f>H25</f>
        <v>100</v>
      </c>
      <c r="V25" s="770" t="s">
        <v>17</v>
      </c>
      <c r="W25" s="771">
        <f>J25</f>
        <v>100</v>
      </c>
      <c r="X25" s="772"/>
      <c r="Y25" s="3241"/>
      <c r="Z25" s="55">
        <f>Q25</f>
        <v>111</v>
      </c>
      <c r="AA25" s="1814">
        <f>D25/F25</f>
        <v>1</v>
      </c>
      <c r="AB25" s="1814">
        <f>D25/H25</f>
        <v>1</v>
      </c>
      <c r="AC25" s="1814">
        <f>D25/J25</f>
        <v>1</v>
      </c>
    </row>
    <row r="26" spans="1:29" ht="1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3"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3"/>
      <c r="Q28" s="1813" t="str">
        <f t="shared" si="11"/>
        <v>公共部分装修</v>
      </c>
      <c r="R28" s="774" t="s">
        <v>17</v>
      </c>
      <c r="S28" s="775">
        <f t="shared" si="12"/>
        <v>100</v>
      </c>
      <c r="T28" s="774" t="s">
        <v>17</v>
      </c>
      <c r="U28" s="775">
        <f t="shared" si="13"/>
        <v>100</v>
      </c>
      <c r="V28" s="774" t="s">
        <v>17</v>
      </c>
      <c r="W28" s="775">
        <f t="shared" si="14"/>
        <v>100</v>
      </c>
      <c r="X28" s="1816"/>
      <c r="Y28" s="3243"/>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3"/>
      <c r="Q29" s="1813" t="str">
        <f t="shared" si="11"/>
        <v>成新率</v>
      </c>
      <c r="R29" s="774" t="s">
        <v>17</v>
      </c>
      <c r="S29" s="775" t="e">
        <f t="shared" si="12"/>
        <v>#N/A</v>
      </c>
      <c r="T29" s="774" t="s">
        <v>17</v>
      </c>
      <c r="U29" s="775" t="e">
        <f t="shared" si="13"/>
        <v>#N/A</v>
      </c>
      <c r="V29" s="774" t="s">
        <v>17</v>
      </c>
      <c r="W29" s="775" t="e">
        <f t="shared" si="14"/>
        <v>#N/A</v>
      </c>
      <c r="X29" s="1816"/>
      <c r="Y29" s="3243"/>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3"/>
      <c r="Q30" s="1813" t="str">
        <f t="shared" si="11"/>
        <v>物业等级</v>
      </c>
      <c r="R30" s="774" t="s">
        <v>17</v>
      </c>
      <c r="S30" s="775">
        <f t="shared" si="12"/>
        <v>100</v>
      </c>
      <c r="T30" s="774" t="s">
        <v>17</v>
      </c>
      <c r="U30" s="775">
        <f t="shared" si="13"/>
        <v>100</v>
      </c>
      <c r="V30" s="774" t="s">
        <v>17</v>
      </c>
      <c r="W30" s="775">
        <f t="shared" si="14"/>
        <v>100</v>
      </c>
      <c r="X30" s="1816"/>
      <c r="Y30" s="3243"/>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3"/>
      <c r="Q31" s="1798"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3" t="s">
        <v>2561</v>
      </c>
      <c r="Q32" s="1813" t="str">
        <f t="shared" si="11"/>
        <v>车位类型</v>
      </c>
      <c r="R32" s="774" t="s">
        <v>17</v>
      </c>
      <c r="S32" s="775">
        <f t="shared" si="12"/>
        <v>100</v>
      </c>
      <c r="T32" s="774" t="s">
        <v>17</v>
      </c>
      <c r="U32" s="775">
        <f t="shared" si="13"/>
        <v>100</v>
      </c>
      <c r="V32" s="774" t="s">
        <v>17</v>
      </c>
      <c r="W32" s="775">
        <f t="shared" si="14"/>
        <v>100</v>
      </c>
      <c r="X32" s="1816"/>
      <c r="Y32" s="3243"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3"/>
      <c r="Q33" s="1813" t="str">
        <f t="shared" si="11"/>
        <v>是否直接入户</v>
      </c>
      <c r="R33" s="774" t="s">
        <v>17</v>
      </c>
      <c r="S33" s="775">
        <f t="shared" si="12"/>
        <v>100</v>
      </c>
      <c r="T33" s="774" t="s">
        <v>17</v>
      </c>
      <c r="U33" s="775">
        <f t="shared" si="13"/>
        <v>100</v>
      </c>
      <c r="V33" s="774" t="s">
        <v>17</v>
      </c>
      <c r="W33" s="775">
        <f t="shared" si="14"/>
        <v>100</v>
      </c>
      <c r="X33" s="1816"/>
      <c r="Y33" s="324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3"/>
      <c r="Q34" s="1813">
        <f t="shared" si="11"/>
        <v>111</v>
      </c>
      <c r="R34" s="774" t="s">
        <v>17</v>
      </c>
      <c r="S34" s="775">
        <f t="shared" si="12"/>
        <v>100</v>
      </c>
      <c r="T34" s="774" t="s">
        <v>17</v>
      </c>
      <c r="U34" s="775">
        <f t="shared" si="13"/>
        <v>100</v>
      </c>
      <c r="V34" s="774" t="s">
        <v>17</v>
      </c>
      <c r="W34" s="775">
        <f t="shared" si="14"/>
        <v>100</v>
      </c>
      <c r="X34" s="1816"/>
      <c r="Y34" s="324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3"/>
      <c r="Q36" s="1813">
        <f t="shared" si="11"/>
        <v>111</v>
      </c>
      <c r="R36" s="774" t="s">
        <v>17</v>
      </c>
      <c r="S36" s="775">
        <f t="shared" si="12"/>
        <v>100</v>
      </c>
      <c r="T36" s="774" t="s">
        <v>17</v>
      </c>
      <c r="U36" s="775">
        <f t="shared" si="13"/>
        <v>100</v>
      </c>
      <c r="V36" s="774" t="s">
        <v>17</v>
      </c>
      <c r="W36" s="775">
        <f t="shared" si="14"/>
        <v>100</v>
      </c>
      <c r="X36" s="1816"/>
      <c r="Y36" s="3243"/>
      <c r="Z36" s="1817">
        <f t="shared" si="15"/>
        <v>111</v>
      </c>
      <c r="AA36" s="1814">
        <f t="shared" si="3"/>
        <v>1</v>
      </c>
      <c r="AB36" s="1814">
        <f t="shared" si="4"/>
        <v>1</v>
      </c>
      <c r="AC36" s="1814">
        <f t="shared" si="5"/>
        <v>1</v>
      </c>
    </row>
    <row r="37" spans="1:29" ht="15">
      <c r="A37" s="479" t="s">
        <v>2716</v>
      </c>
      <c r="B37" s="2696" t="s">
        <v>2717</v>
      </c>
      <c r="C37" s="1410" t="s">
        <v>1</v>
      </c>
      <c r="D37" s="1411"/>
      <c r="E37" s="1412"/>
      <c r="F37" s="1413"/>
      <c r="G37" s="1414"/>
      <c r="H37" s="1415"/>
      <c r="I37" s="1412"/>
      <c r="J37" s="1415"/>
      <c r="K37" s="619"/>
      <c r="L37" s="1146"/>
      <c r="M37" s="1147"/>
      <c r="N37" s="1134"/>
      <c r="O37" s="1147"/>
      <c r="P37" s="3238" t="str">
        <f>A37</f>
        <v>成交单价</v>
      </c>
      <c r="Q37" s="3238"/>
      <c r="R37" s="3302">
        <f>E37</f>
        <v>0</v>
      </c>
      <c r="S37" s="3302"/>
      <c r="T37" s="3302">
        <f>G37</f>
        <v>0</v>
      </c>
      <c r="U37" s="3302"/>
      <c r="V37" s="3302">
        <f>I37</f>
        <v>0</v>
      </c>
      <c r="W37" s="3302"/>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8" t="str">
        <f>A38</f>
        <v>比较价值（元/平方米）</v>
      </c>
      <c r="Q38" s="3238"/>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232" t="str">
        <f>A39</f>
        <v>估价对象XX用房的比较价值（楼面单价，元/平方米）</v>
      </c>
      <c r="Q39" s="3233"/>
      <c r="R39" s="3301" t="e">
        <f>IF(F1="售价",ROUND(AVERAGE(R38:V38),0),ROUND(AVERAGE(R38:V38),1))</f>
        <v>#DIV/0!</v>
      </c>
      <c r="S39" s="3301"/>
      <c r="T39" s="3301"/>
      <c r="U39" s="3301"/>
      <c r="V39" s="3301"/>
      <c r="W39" s="33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5"/>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35" t="s">
        <v>2642</v>
      </c>
      <c r="D4" s="3248"/>
      <c r="E4" s="3249" t="s">
        <v>2643</v>
      </c>
      <c r="F4" s="3250"/>
      <c r="G4" s="3235" t="s">
        <v>2644</v>
      </c>
      <c r="H4" s="3248"/>
      <c r="I4" s="3235" t="s">
        <v>2645</v>
      </c>
      <c r="J4" s="3248"/>
      <c r="K4" s="610" t="s">
        <v>2646</v>
      </c>
      <c r="L4" s="1133"/>
      <c r="M4" s="1134"/>
      <c r="N4" s="1134"/>
      <c r="O4" s="1134"/>
      <c r="P4" s="3251" t="s">
        <v>2647</v>
      </c>
      <c r="Q4" s="3252"/>
      <c r="R4" s="3257" t="s">
        <v>2643</v>
      </c>
      <c r="S4" s="3258"/>
      <c r="T4" s="3257" t="s">
        <v>2644</v>
      </c>
      <c r="U4" s="3258"/>
      <c r="V4" s="3244" t="s">
        <v>2645</v>
      </c>
      <c r="W4" s="3244"/>
      <c r="X4" s="1816"/>
      <c r="Y4" s="3257" t="s">
        <v>2647</v>
      </c>
      <c r="Z4" s="3258"/>
      <c r="AA4" s="3245" t="s">
        <v>2643</v>
      </c>
      <c r="AB4" s="3246" t="s">
        <v>2644</v>
      </c>
      <c r="AC4" s="3245" t="s">
        <v>2645</v>
      </c>
    </row>
    <row r="5" spans="1:29" ht="15">
      <c r="A5" s="404"/>
      <c r="B5" s="405"/>
      <c r="C5" s="3270" t="s">
        <v>2538</v>
      </c>
      <c r="D5" s="3266"/>
      <c r="E5" s="3317" t="s">
        <v>2539</v>
      </c>
      <c r="F5" s="3318"/>
      <c r="G5" s="3270" t="s">
        <v>2540</v>
      </c>
      <c r="H5" s="3266"/>
      <c r="I5" s="3270" t="s">
        <v>2541</v>
      </c>
      <c r="J5" s="3266"/>
      <c r="K5" s="610"/>
      <c r="L5" s="1133"/>
      <c r="M5" s="1134"/>
      <c r="N5" s="1134"/>
      <c r="O5" s="1134"/>
      <c r="P5" s="3253"/>
      <c r="Q5" s="3254"/>
      <c r="R5" s="3259"/>
      <c r="S5" s="3260"/>
      <c r="T5" s="3259"/>
      <c r="U5" s="3260"/>
      <c r="V5" s="3244"/>
      <c r="W5" s="3244"/>
      <c r="X5" s="1816"/>
      <c r="Y5" s="3259"/>
      <c r="Z5" s="3260"/>
      <c r="AA5" s="3246"/>
      <c r="AB5" s="3246"/>
      <c r="AC5" s="3246"/>
    </row>
    <row r="6" spans="1:29" ht="15.75" thickBot="1">
      <c r="A6" s="406"/>
      <c r="B6" s="407"/>
      <c r="C6" s="3309" t="s">
        <v>2542</v>
      </c>
      <c r="D6" s="3264"/>
      <c r="E6" s="3313" t="s">
        <v>2542</v>
      </c>
      <c r="F6" s="3314"/>
      <c r="G6" s="3309" t="s">
        <v>2542</v>
      </c>
      <c r="H6" s="3264"/>
      <c r="I6" s="3309" t="s">
        <v>2542</v>
      </c>
      <c r="J6" s="3264"/>
      <c r="K6" s="610" t="s">
        <v>2543</v>
      </c>
      <c r="L6" s="1133"/>
      <c r="M6" s="1134"/>
      <c r="N6" s="1134"/>
      <c r="O6" s="1134"/>
      <c r="P6" s="3255"/>
      <c r="Q6" s="3256"/>
      <c r="R6" s="3259"/>
      <c r="S6" s="3260"/>
      <c r="T6" s="3261"/>
      <c r="U6" s="3262"/>
      <c r="V6" s="3244"/>
      <c r="W6" s="3244"/>
      <c r="X6" s="1816"/>
      <c r="Y6" s="3261"/>
      <c r="Z6" s="3262"/>
      <c r="AA6" s="3247"/>
      <c r="AB6" s="3247"/>
      <c r="AC6" s="3247"/>
    </row>
    <row r="7" spans="1:29" s="117" customFormat="1" ht="15.75" thickBot="1">
      <c r="A7" s="408" t="s">
        <v>2544</v>
      </c>
      <c r="B7" s="409"/>
      <c r="C7" s="410">
        <f>'数据-取费表'!B2</f>
        <v>43248</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67" t="s">
        <v>2545</v>
      </c>
      <c r="Q7" s="3269"/>
      <c r="R7" s="770" t="s">
        <v>17</v>
      </c>
      <c r="S7" s="771">
        <f t="shared" ref="S7:S14" si="0">F7</f>
        <v>0</v>
      </c>
      <c r="T7" s="770" t="s">
        <v>17</v>
      </c>
      <c r="U7" s="771">
        <f t="shared" ref="U7:U14" si="1">H7</f>
        <v>0</v>
      </c>
      <c r="V7" s="770" t="s">
        <v>17</v>
      </c>
      <c r="W7" s="771">
        <f t="shared" ref="W7:W14" si="2">J7</f>
        <v>0</v>
      </c>
      <c r="X7" s="772"/>
      <c r="Y7" s="3267" t="s">
        <v>2545</v>
      </c>
      <c r="Z7" s="326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7" t="s">
        <v>2548</v>
      </c>
      <c r="Q8" s="3268"/>
      <c r="R8" s="770" t="s">
        <v>17</v>
      </c>
      <c r="S8" s="771">
        <f t="shared" si="0"/>
        <v>0</v>
      </c>
      <c r="T8" s="770" t="s">
        <v>17</v>
      </c>
      <c r="U8" s="771">
        <f t="shared" si="1"/>
        <v>0</v>
      </c>
      <c r="V8" s="770" t="s">
        <v>17</v>
      </c>
      <c r="W8" s="771">
        <f t="shared" si="2"/>
        <v>0</v>
      </c>
      <c r="X8" s="772"/>
      <c r="Y8" s="3267" t="s">
        <v>2548</v>
      </c>
      <c r="Z8" s="326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8" t="s">
        <v>2551</v>
      </c>
      <c r="Q9" s="1798" t="str">
        <f t="shared" ref="Q9:Q14" si="6">B9</f>
        <v>用途</v>
      </c>
      <c r="R9" s="770" t="s">
        <v>17</v>
      </c>
      <c r="S9" s="771">
        <f t="shared" si="0"/>
        <v>100</v>
      </c>
      <c r="T9" s="770" t="s">
        <v>17</v>
      </c>
      <c r="U9" s="771">
        <f t="shared" si="1"/>
        <v>100</v>
      </c>
      <c r="V9" s="770" t="s">
        <v>17</v>
      </c>
      <c r="W9" s="771">
        <f t="shared" si="2"/>
        <v>100</v>
      </c>
      <c r="X9" s="772"/>
      <c r="Y9" s="306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8"/>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8"/>
      <c r="Q11" s="1798">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8"/>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0" t="s">
        <v>2556</v>
      </c>
      <c r="Q14" s="1813" t="str">
        <f t="shared" si="6"/>
        <v>交通便捷度</v>
      </c>
      <c r="R14" s="774" t="s">
        <v>17</v>
      </c>
      <c r="S14" s="775">
        <f t="shared" si="0"/>
        <v>100</v>
      </c>
      <c r="T14" s="774" t="s">
        <v>17</v>
      </c>
      <c r="U14" s="775">
        <f t="shared" si="1"/>
        <v>100</v>
      </c>
      <c r="V14" s="774" t="s">
        <v>17</v>
      </c>
      <c r="W14" s="775">
        <f t="shared" si="2"/>
        <v>100</v>
      </c>
      <c r="X14" s="1816"/>
      <c r="Y14" s="3240"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1"/>
      <c r="Q15" s="1813"/>
      <c r="R15" s="774"/>
      <c r="S15" s="775"/>
      <c r="T15" s="774"/>
      <c r="U15" s="775"/>
      <c r="V15" s="774"/>
      <c r="W15" s="775"/>
      <c r="X15" s="1816"/>
      <c r="Y15" s="3241"/>
      <c r="Z15" s="1817"/>
      <c r="AA15" s="1814">
        <v>1</v>
      </c>
      <c r="AB15" s="1814">
        <v>1</v>
      </c>
      <c r="AC15" s="1814">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1"/>
      <c r="Q16" s="1813" t="str">
        <f>B16</f>
        <v>公共配套设施</v>
      </c>
      <c r="R16" s="774" t="s">
        <v>17</v>
      </c>
      <c r="S16" s="775">
        <f>F16</f>
        <v>100</v>
      </c>
      <c r="T16" s="774" t="s">
        <v>17</v>
      </c>
      <c r="U16" s="775">
        <f>H16</f>
        <v>100</v>
      </c>
      <c r="V16" s="774" t="s">
        <v>17</v>
      </c>
      <c r="W16" s="775">
        <f>J16</f>
        <v>100</v>
      </c>
      <c r="X16" s="1816"/>
      <c r="Y16" s="3241"/>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41"/>
      <c r="Q17" s="1813"/>
      <c r="R17" s="774"/>
      <c r="S17" s="775"/>
      <c r="T17" s="774"/>
      <c r="U17" s="775"/>
      <c r="V17" s="774"/>
      <c r="W17" s="775"/>
      <c r="X17" s="1816"/>
      <c r="Y17" s="3241"/>
      <c r="Z17" s="1817"/>
      <c r="AA17" s="1814">
        <v>1</v>
      </c>
      <c r="AB17" s="1814">
        <v>1</v>
      </c>
      <c r="AC17" s="1814">
        <v>1</v>
      </c>
    </row>
    <row r="18" spans="1:29" ht="28.5">
      <c r="A18" s="428"/>
      <c r="B18" s="1387"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1"/>
      <c r="Q18" s="1813" t="str">
        <f>B18</f>
        <v>基础设施水平</v>
      </c>
      <c r="R18" s="774" t="s">
        <v>17</v>
      </c>
      <c r="S18" s="775">
        <f>F18</f>
        <v>100</v>
      </c>
      <c r="T18" s="774" t="s">
        <v>17</v>
      </c>
      <c r="U18" s="775">
        <f>H18</f>
        <v>100</v>
      </c>
      <c r="V18" s="774" t="s">
        <v>17</v>
      </c>
      <c r="W18" s="775">
        <f>J18</f>
        <v>100</v>
      </c>
      <c r="X18" s="1816"/>
      <c r="Y18" s="3241"/>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41"/>
      <c r="Q19" s="1813"/>
      <c r="R19" s="774"/>
      <c r="S19" s="775"/>
      <c r="T19" s="774"/>
      <c r="U19" s="775"/>
      <c r="V19" s="774"/>
      <c r="W19" s="775"/>
      <c r="X19" s="1816"/>
      <c r="Y19" s="3241"/>
      <c r="Z19" s="1817"/>
      <c r="AA19" s="1814">
        <v>1</v>
      </c>
      <c r="AB19" s="1814">
        <v>1</v>
      </c>
      <c r="AC19" s="1814">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1"/>
      <c r="Q20" s="1813" t="str">
        <f>B20</f>
        <v>自然及人文环境</v>
      </c>
      <c r="R20" s="774" t="s">
        <v>17</v>
      </c>
      <c r="S20" s="775">
        <f>F20</f>
        <v>100</v>
      </c>
      <c r="T20" s="774" t="s">
        <v>17</v>
      </c>
      <c r="U20" s="775">
        <f>H20</f>
        <v>100</v>
      </c>
      <c r="V20" s="774" t="s">
        <v>17</v>
      </c>
      <c r="W20" s="775">
        <f>J20</f>
        <v>100</v>
      </c>
      <c r="X20" s="1816"/>
      <c r="Y20" s="324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1"/>
      <c r="Q21" s="1813"/>
      <c r="R21" s="774"/>
      <c r="S21" s="775"/>
      <c r="T21" s="774"/>
      <c r="U21" s="775"/>
      <c r="V21" s="774"/>
      <c r="W21" s="775"/>
      <c r="X21" s="1816"/>
      <c r="Y21" s="3241"/>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1"/>
      <c r="Q22" s="1813" t="str">
        <f>B22</f>
        <v>楼层</v>
      </c>
      <c r="R22" s="774" t="s">
        <v>17</v>
      </c>
      <c r="S22" s="775">
        <f>F22</f>
        <v>100</v>
      </c>
      <c r="T22" s="774" t="s">
        <v>17</v>
      </c>
      <c r="U22" s="775">
        <f>H22</f>
        <v>100</v>
      </c>
      <c r="V22" s="774" t="s">
        <v>17</v>
      </c>
      <c r="W22" s="775">
        <f>J22</f>
        <v>100</v>
      </c>
      <c r="X22" s="1816"/>
      <c r="Y22" s="3241"/>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1"/>
      <c r="Q23" s="1813">
        <f>B23</f>
        <v>111</v>
      </c>
      <c r="R23" s="774" t="s">
        <v>17</v>
      </c>
      <c r="S23" s="775">
        <f>F23</f>
        <v>100</v>
      </c>
      <c r="T23" s="774" t="s">
        <v>17</v>
      </c>
      <c r="U23" s="775">
        <f>H23</f>
        <v>100</v>
      </c>
      <c r="V23" s="774" t="s">
        <v>17</v>
      </c>
      <c r="W23" s="775">
        <f>J23</f>
        <v>100</v>
      </c>
      <c r="X23" s="1816"/>
      <c r="Y23" s="3241"/>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1"/>
      <c r="Q24" s="1813">
        <f t="shared" ref="Q24:Q34" si="11">B24</f>
        <v>111</v>
      </c>
      <c r="R24" s="774" t="s">
        <v>17</v>
      </c>
      <c r="S24" s="775">
        <f>F24</f>
        <v>100</v>
      </c>
      <c r="T24" s="774" t="s">
        <v>17</v>
      </c>
      <c r="U24" s="775">
        <f>H24</f>
        <v>100</v>
      </c>
      <c r="V24" s="774" t="s">
        <v>17</v>
      </c>
      <c r="W24" s="775">
        <f>J24</f>
        <v>100</v>
      </c>
      <c r="X24" s="1816"/>
      <c r="Y24" s="3241"/>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41"/>
      <c r="Q25" s="1798">
        <f t="shared" si="11"/>
        <v>111</v>
      </c>
      <c r="R25" s="770" t="s">
        <v>17</v>
      </c>
      <c r="S25" s="771">
        <f>F25</f>
        <v>100</v>
      </c>
      <c r="T25" s="770" t="s">
        <v>17</v>
      </c>
      <c r="U25" s="771">
        <f>H25</f>
        <v>100</v>
      </c>
      <c r="V25" s="770" t="s">
        <v>17</v>
      </c>
      <c r="W25" s="771">
        <f>J25</f>
        <v>100</v>
      </c>
      <c r="X25" s="772"/>
      <c r="Y25" s="3241"/>
      <c r="Z25" s="55">
        <f>Q25</f>
        <v>111</v>
      </c>
      <c r="AA25" s="1814">
        <f>D25/F25</f>
        <v>1</v>
      </c>
      <c r="AB25" s="1814">
        <f>D25/H25</f>
        <v>1</v>
      </c>
      <c r="AC25" s="1814">
        <f>D25/J25</f>
        <v>1</v>
      </c>
    </row>
    <row r="26" spans="1:29" ht="1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42"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3"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3"/>
      <c r="Q28" s="1813" t="str">
        <f t="shared" si="11"/>
        <v>物业等级</v>
      </c>
      <c r="R28" s="774" t="s">
        <v>17</v>
      </c>
      <c r="S28" s="775">
        <f t="shared" si="12"/>
        <v>100</v>
      </c>
      <c r="T28" s="774" t="s">
        <v>17</v>
      </c>
      <c r="U28" s="775">
        <f t="shared" si="13"/>
        <v>100</v>
      </c>
      <c r="V28" s="774" t="s">
        <v>17</v>
      </c>
      <c r="W28" s="775">
        <f t="shared" si="14"/>
        <v>100</v>
      </c>
      <c r="X28" s="1816"/>
      <c r="Y28" s="3243"/>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3"/>
      <c r="Q29" s="1813" t="str">
        <f t="shared" si="11"/>
        <v>有无电梯</v>
      </c>
      <c r="R29" s="774" t="s">
        <v>17</v>
      </c>
      <c r="S29" s="775">
        <f t="shared" si="12"/>
        <v>100</v>
      </c>
      <c r="T29" s="774" t="s">
        <v>17</v>
      </c>
      <c r="U29" s="775">
        <f t="shared" si="13"/>
        <v>100</v>
      </c>
      <c r="V29" s="774" t="s">
        <v>17</v>
      </c>
      <c r="W29" s="775">
        <f t="shared" si="14"/>
        <v>100</v>
      </c>
      <c r="X29" s="1816"/>
      <c r="Y29" s="3243"/>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3"/>
      <c r="Q30" s="1813" t="str">
        <f t="shared" si="11"/>
        <v>建筑面积</v>
      </c>
      <c r="R30" s="774" t="s">
        <v>17</v>
      </c>
      <c r="S30" s="775" t="e">
        <f t="shared" si="12"/>
        <v>#N/A</v>
      </c>
      <c r="T30" s="774" t="s">
        <v>17</v>
      </c>
      <c r="U30" s="775" t="e">
        <f t="shared" si="13"/>
        <v>#N/A</v>
      </c>
      <c r="V30" s="774" t="s">
        <v>17</v>
      </c>
      <c r="W30" s="775" t="e">
        <f t="shared" si="14"/>
        <v>#N/A</v>
      </c>
      <c r="X30" s="1816"/>
      <c r="Y30" s="3243"/>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3"/>
      <c r="Q31" s="1798"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3" t="s">
        <v>2561</v>
      </c>
      <c r="Q32" s="1813">
        <f t="shared" si="11"/>
        <v>111</v>
      </c>
      <c r="R32" s="774" t="s">
        <v>17</v>
      </c>
      <c r="S32" s="775">
        <f t="shared" si="12"/>
        <v>100</v>
      </c>
      <c r="T32" s="774" t="s">
        <v>17</v>
      </c>
      <c r="U32" s="775">
        <f t="shared" si="13"/>
        <v>100</v>
      </c>
      <c r="V32" s="774" t="s">
        <v>17</v>
      </c>
      <c r="W32" s="775">
        <f t="shared" si="14"/>
        <v>100</v>
      </c>
      <c r="X32" s="1816"/>
      <c r="Y32" s="3243" t="s">
        <v>2561</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3"/>
      <c r="Q33" s="1813">
        <f t="shared" si="11"/>
        <v>111</v>
      </c>
      <c r="R33" s="774" t="s">
        <v>17</v>
      </c>
      <c r="S33" s="775">
        <f t="shared" si="12"/>
        <v>100</v>
      </c>
      <c r="T33" s="774" t="s">
        <v>17</v>
      </c>
      <c r="U33" s="775">
        <f t="shared" si="13"/>
        <v>100</v>
      </c>
      <c r="V33" s="774" t="s">
        <v>17</v>
      </c>
      <c r="W33" s="775">
        <f t="shared" si="14"/>
        <v>100</v>
      </c>
      <c r="X33" s="1816"/>
      <c r="Y33" s="3243"/>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43"/>
      <c r="Q34" s="1813">
        <f t="shared" si="11"/>
        <v>111</v>
      </c>
      <c r="R34" s="774" t="s">
        <v>17</v>
      </c>
      <c r="S34" s="775">
        <f t="shared" si="12"/>
        <v>100</v>
      </c>
      <c r="T34" s="774" t="s">
        <v>17</v>
      </c>
      <c r="U34" s="775">
        <f t="shared" si="13"/>
        <v>100</v>
      </c>
      <c r="V34" s="774" t="s">
        <v>17</v>
      </c>
      <c r="W34" s="775">
        <f t="shared" si="14"/>
        <v>100</v>
      </c>
      <c r="X34" s="1816"/>
      <c r="Y34" s="3243"/>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238" t="str">
        <f>A35</f>
        <v>成交单价（元/平方米）</v>
      </c>
      <c r="Q35" s="3238"/>
      <c r="R35" s="3302">
        <f>E35</f>
        <v>0</v>
      </c>
      <c r="S35" s="3302"/>
      <c r="T35" s="3302">
        <f>G35</f>
        <v>0</v>
      </c>
      <c r="U35" s="3302"/>
      <c r="V35" s="3302">
        <f>I35</f>
        <v>0</v>
      </c>
      <c r="W35" s="3302"/>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238" t="str">
        <f>A36</f>
        <v>比较价值（元/平方米）</v>
      </c>
      <c r="Q36" s="3238"/>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232" t="str">
        <f>A37</f>
        <v>估价对象XX用房的比较价值（楼面单价，元/平方米）</v>
      </c>
      <c r="Q37" s="3233"/>
      <c r="R37" s="3301" t="e">
        <f>IF(F1="售价",ROUND(AVERAGE(R36:V36),0),ROUND(AVERAGE(R36:V36),1))</f>
        <v>#DIV/0!</v>
      </c>
      <c r="S37" s="3301"/>
      <c r="T37" s="3301"/>
      <c r="U37" s="3301"/>
      <c r="V37" s="3301"/>
      <c r="W37" s="33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35" t="s">
        <v>2642</v>
      </c>
      <c r="D4" s="3248"/>
      <c r="E4" s="3249" t="s">
        <v>2643</v>
      </c>
      <c r="F4" s="3250"/>
      <c r="G4" s="3235" t="s">
        <v>2644</v>
      </c>
      <c r="H4" s="3248"/>
      <c r="I4" s="3235" t="s">
        <v>2645</v>
      </c>
      <c r="J4" s="3248"/>
      <c r="K4" s="610" t="s">
        <v>2646</v>
      </c>
      <c r="L4" s="1133"/>
      <c r="M4" s="1134"/>
      <c r="N4" s="1134"/>
      <c r="O4" s="1134"/>
      <c r="P4" s="3251" t="s">
        <v>2647</v>
      </c>
      <c r="Q4" s="3252"/>
      <c r="R4" s="3257" t="s">
        <v>2643</v>
      </c>
      <c r="S4" s="3258"/>
      <c r="T4" s="3257" t="s">
        <v>2644</v>
      </c>
      <c r="U4" s="3258"/>
      <c r="V4" s="3244" t="s">
        <v>2645</v>
      </c>
      <c r="W4" s="3244"/>
      <c r="X4" s="1816"/>
      <c r="Y4" s="3257" t="s">
        <v>2647</v>
      </c>
      <c r="Z4" s="3258"/>
      <c r="AA4" s="3245" t="s">
        <v>2643</v>
      </c>
      <c r="AB4" s="3246" t="s">
        <v>2644</v>
      </c>
      <c r="AC4" s="3245" t="s">
        <v>2645</v>
      </c>
    </row>
    <row r="5" spans="1:29" ht="15">
      <c r="A5" s="404"/>
      <c r="B5" s="405"/>
      <c r="C5" s="3270" t="s">
        <v>2538</v>
      </c>
      <c r="D5" s="3266"/>
      <c r="E5" s="3317" t="s">
        <v>2539</v>
      </c>
      <c r="F5" s="3318"/>
      <c r="G5" s="3270" t="s">
        <v>2540</v>
      </c>
      <c r="H5" s="3266"/>
      <c r="I5" s="3270" t="s">
        <v>2541</v>
      </c>
      <c r="J5" s="3266"/>
      <c r="K5" s="610"/>
      <c r="L5" s="1133"/>
      <c r="M5" s="1134"/>
      <c r="N5" s="1134"/>
      <c r="O5" s="1134"/>
      <c r="P5" s="3253"/>
      <c r="Q5" s="3254"/>
      <c r="R5" s="3259"/>
      <c r="S5" s="3260"/>
      <c r="T5" s="3259"/>
      <c r="U5" s="3260"/>
      <c r="V5" s="3244"/>
      <c r="W5" s="3244"/>
      <c r="X5" s="1816"/>
      <c r="Y5" s="3259"/>
      <c r="Z5" s="3260"/>
      <c r="AA5" s="3246"/>
      <c r="AB5" s="3246"/>
      <c r="AC5" s="3246"/>
    </row>
    <row r="6" spans="1:29" ht="15.75" thickBot="1">
      <c r="A6" s="406"/>
      <c r="B6" s="407"/>
      <c r="C6" s="3334" t="s">
        <v>2793</v>
      </c>
      <c r="D6" s="3335"/>
      <c r="E6" s="3336" t="s">
        <v>2793</v>
      </c>
      <c r="F6" s="3337"/>
      <c r="G6" s="3334" t="s">
        <v>2793</v>
      </c>
      <c r="H6" s="3335"/>
      <c r="I6" s="3334" t="s">
        <v>2793</v>
      </c>
      <c r="J6" s="3335"/>
      <c r="K6" s="610" t="s">
        <v>2543</v>
      </c>
      <c r="L6" s="1133"/>
      <c r="M6" s="1134"/>
      <c r="N6" s="1134"/>
      <c r="O6" s="1134"/>
      <c r="P6" s="3255"/>
      <c r="Q6" s="3256"/>
      <c r="R6" s="3259"/>
      <c r="S6" s="3260"/>
      <c r="T6" s="3261"/>
      <c r="U6" s="3262"/>
      <c r="V6" s="3244"/>
      <c r="W6" s="3244"/>
      <c r="X6" s="1816"/>
      <c r="Y6" s="3261"/>
      <c r="Z6" s="3262"/>
      <c r="AA6" s="3247"/>
      <c r="AB6" s="3247"/>
      <c r="AC6" s="3247"/>
    </row>
    <row r="7" spans="1:29" s="117" customFormat="1" ht="15.75" thickBot="1">
      <c r="A7" s="408" t="s">
        <v>2544</v>
      </c>
      <c r="B7" s="409"/>
      <c r="C7" s="410">
        <f>'数据-取费表'!B2</f>
        <v>43248</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67" t="s">
        <v>2545</v>
      </c>
      <c r="Q7" s="3269"/>
      <c r="R7" s="770" t="s">
        <v>17</v>
      </c>
      <c r="S7" s="771">
        <f t="shared" ref="S7:S15" si="0">F7</f>
        <v>0</v>
      </c>
      <c r="T7" s="770" t="s">
        <v>17</v>
      </c>
      <c r="U7" s="771">
        <f t="shared" ref="U7:U15" si="1">H7</f>
        <v>0</v>
      </c>
      <c r="V7" s="770" t="s">
        <v>17</v>
      </c>
      <c r="W7" s="771">
        <f t="shared" ref="W7:W15" si="2">J7</f>
        <v>0</v>
      </c>
      <c r="X7" s="772"/>
      <c r="Y7" s="3267" t="s">
        <v>2545</v>
      </c>
      <c r="Z7" s="326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7" t="s">
        <v>2548</v>
      </c>
      <c r="Q8" s="3268"/>
      <c r="R8" s="770" t="s">
        <v>17</v>
      </c>
      <c r="S8" s="771">
        <f t="shared" si="0"/>
        <v>0</v>
      </c>
      <c r="T8" s="770" t="s">
        <v>17</v>
      </c>
      <c r="U8" s="771">
        <f t="shared" si="1"/>
        <v>0</v>
      </c>
      <c r="V8" s="770" t="s">
        <v>17</v>
      </c>
      <c r="W8" s="771">
        <f t="shared" si="2"/>
        <v>0</v>
      </c>
      <c r="X8" s="772"/>
      <c r="Y8" s="3267" t="s">
        <v>2548</v>
      </c>
      <c r="Z8" s="3268"/>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38" t="s">
        <v>2551</v>
      </c>
      <c r="Q9" s="1798" t="str">
        <f t="shared" ref="Q9:Q15" si="6">B9</f>
        <v>用途</v>
      </c>
      <c r="R9" s="770" t="s">
        <v>17</v>
      </c>
      <c r="S9" s="771">
        <f t="shared" si="0"/>
        <v>100</v>
      </c>
      <c r="T9" s="770" t="s">
        <v>17</v>
      </c>
      <c r="U9" s="771">
        <f t="shared" si="1"/>
        <v>100</v>
      </c>
      <c r="V9" s="770" t="s">
        <v>17</v>
      </c>
      <c r="W9" s="771">
        <f t="shared" si="2"/>
        <v>100</v>
      </c>
      <c r="X9" s="772"/>
      <c r="Y9" s="306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38"/>
      <c r="Q10" s="1798" t="str">
        <f t="shared" si="6"/>
        <v>土地使用年限（年）</v>
      </c>
      <c r="R10" s="770" t="s">
        <v>17</v>
      </c>
      <c r="S10" s="771">
        <f t="shared" si="0"/>
        <v>102</v>
      </c>
      <c r="T10" s="770" t="s">
        <v>17</v>
      </c>
      <c r="U10" s="771">
        <f t="shared" si="1"/>
        <v>102</v>
      </c>
      <c r="V10" s="770" t="s">
        <v>17</v>
      </c>
      <c r="W10" s="771">
        <f t="shared" si="2"/>
        <v>102</v>
      </c>
      <c r="X10" s="772"/>
      <c r="Y10" s="3068"/>
      <c r="Z10" s="55" t="str">
        <f t="shared" si="7"/>
        <v>土地使用年限（年）</v>
      </c>
      <c r="AA10" s="773">
        <f t="shared" si="3"/>
        <v>0.98039215686274506</v>
      </c>
      <c r="AB10" s="773">
        <f t="shared" si="4"/>
        <v>0.98039215686274506</v>
      </c>
      <c r="AC10" s="773">
        <f t="shared" si="5"/>
        <v>0.98039215686274506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8"/>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8"/>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8"/>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2555</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0" t="s">
        <v>2556</v>
      </c>
      <c r="Q15" s="1813" t="str">
        <f t="shared" si="6"/>
        <v>产业集聚程度</v>
      </c>
      <c r="R15" s="774" t="s">
        <v>17</v>
      </c>
      <c r="S15" s="775">
        <f t="shared" si="0"/>
        <v>100</v>
      </c>
      <c r="T15" s="774" t="s">
        <v>17</v>
      </c>
      <c r="U15" s="775">
        <f t="shared" si="1"/>
        <v>100</v>
      </c>
      <c r="V15" s="774" t="s">
        <v>17</v>
      </c>
      <c r="W15" s="775">
        <f t="shared" si="2"/>
        <v>100</v>
      </c>
      <c r="X15" s="1816"/>
      <c r="Y15" s="3240" t="s">
        <v>2556</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41"/>
      <c r="Q16" s="1813"/>
      <c r="R16" s="774"/>
      <c r="S16" s="775"/>
      <c r="T16" s="774"/>
      <c r="U16" s="775"/>
      <c r="V16" s="774"/>
      <c r="W16" s="775"/>
      <c r="X16" s="1816"/>
      <c r="Y16" s="3241"/>
      <c r="Z16" s="1817"/>
      <c r="AA16" s="1814">
        <v>1</v>
      </c>
      <c r="AB16" s="1814">
        <v>1</v>
      </c>
      <c r="AC16" s="1814">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1"/>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41"/>
      <c r="Q18" s="1813"/>
      <c r="R18" s="774"/>
      <c r="S18" s="775"/>
      <c r="T18" s="774"/>
      <c r="U18" s="775"/>
      <c r="V18" s="774"/>
      <c r="W18" s="775"/>
      <c r="X18" s="1816"/>
      <c r="Y18" s="3241"/>
      <c r="Z18" s="1817"/>
      <c r="AA18" s="1814">
        <v>1</v>
      </c>
      <c r="AB18" s="1814">
        <v>1</v>
      </c>
      <c r="AC18" s="1814">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1"/>
      <c r="Q19" s="1813" t="str">
        <f t="shared" ref="Q19:Q33" si="8">B19</f>
        <v>区域土地利用方向</v>
      </c>
      <c r="R19" s="774" t="s">
        <v>17</v>
      </c>
      <c r="S19" s="775">
        <f>F19</f>
        <v>100</v>
      </c>
      <c r="T19" s="774" t="s">
        <v>17</v>
      </c>
      <c r="U19" s="775">
        <f>H19</f>
        <v>100</v>
      </c>
      <c r="V19" s="774" t="s">
        <v>17</v>
      </c>
      <c r="W19" s="775">
        <f>J19</f>
        <v>100</v>
      </c>
      <c r="X19" s="1816"/>
      <c r="Y19" s="3241"/>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41"/>
      <c r="Q20" s="1813"/>
      <c r="R20" s="774"/>
      <c r="S20" s="775"/>
      <c r="T20" s="774"/>
      <c r="U20" s="775"/>
      <c r="V20" s="774"/>
      <c r="W20" s="775"/>
      <c r="X20" s="1816"/>
      <c r="Y20" s="3241"/>
      <c r="Z20" s="1817"/>
      <c r="AA20" s="1814"/>
      <c r="AB20" s="1814"/>
      <c r="AC20" s="1814"/>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1"/>
      <c r="Q21" s="1813" t="str">
        <f t="shared" si="8"/>
        <v>环境状况</v>
      </c>
      <c r="R21" s="774" t="s">
        <v>17</v>
      </c>
      <c r="S21" s="775">
        <f>F21</f>
        <v>100</v>
      </c>
      <c r="T21" s="774" t="s">
        <v>17</v>
      </c>
      <c r="U21" s="775">
        <f>H21</f>
        <v>100</v>
      </c>
      <c r="V21" s="774" t="s">
        <v>17</v>
      </c>
      <c r="W21" s="775">
        <f>J21</f>
        <v>100</v>
      </c>
      <c r="X21" s="1816"/>
      <c r="Y21" s="3241"/>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41"/>
      <c r="Q22" s="1813"/>
      <c r="R22" s="774"/>
      <c r="S22" s="775"/>
      <c r="T22" s="774"/>
      <c r="U22" s="775"/>
      <c r="V22" s="774"/>
      <c r="W22" s="775"/>
      <c r="X22" s="1816"/>
      <c r="Y22" s="3241"/>
      <c r="Z22" s="1817"/>
      <c r="AA22" s="1814">
        <v>1</v>
      </c>
      <c r="AB22" s="1814">
        <v>1</v>
      </c>
      <c r="AC22" s="1814">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1"/>
      <c r="Q23" s="1798" t="str">
        <f t="shared" si="8"/>
        <v>公共配套设施</v>
      </c>
      <c r="R23" s="770" t="s">
        <v>17</v>
      </c>
      <c r="S23" s="771">
        <f>F23</f>
        <v>100</v>
      </c>
      <c r="T23" s="770" t="s">
        <v>17</v>
      </c>
      <c r="U23" s="771">
        <f>H23</f>
        <v>100</v>
      </c>
      <c r="V23" s="770" t="s">
        <v>17</v>
      </c>
      <c r="W23" s="771">
        <f>J23</f>
        <v>100</v>
      </c>
      <c r="X23" s="772"/>
      <c r="Y23" s="3241"/>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41"/>
      <c r="Q24" s="1798"/>
      <c r="R24" s="770"/>
      <c r="S24" s="771"/>
      <c r="T24" s="770"/>
      <c r="U24" s="771"/>
      <c r="V24" s="770"/>
      <c r="W24" s="771"/>
      <c r="X24" s="772"/>
      <c r="Y24" s="3241"/>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1"/>
      <c r="Q25" s="1798" t="str">
        <f t="shared" ref="Q25" si="9">B25</f>
        <v>基础设施水平</v>
      </c>
      <c r="R25" s="770" t="s">
        <v>17</v>
      </c>
      <c r="S25" s="771">
        <f>F25</f>
        <v>100</v>
      </c>
      <c r="T25" s="770" t="s">
        <v>17</v>
      </c>
      <c r="U25" s="771">
        <f>H25</f>
        <v>100</v>
      </c>
      <c r="V25" s="770" t="s">
        <v>17</v>
      </c>
      <c r="W25" s="771">
        <f>J25</f>
        <v>100</v>
      </c>
      <c r="X25" s="772"/>
      <c r="Y25" s="3241"/>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41"/>
      <c r="Q26" s="1798"/>
      <c r="R26" s="770"/>
      <c r="S26" s="771"/>
      <c r="T26" s="770"/>
      <c r="U26" s="771"/>
      <c r="V26" s="770"/>
      <c r="W26" s="771"/>
      <c r="X26" s="772"/>
      <c r="Y26" s="324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1"/>
      <c r="Z27" s="1817" t="str">
        <f t="shared" ref="Z27:Z40" si="13">Q27</f>
        <v>临街状况</v>
      </c>
      <c r="AA27" s="1814">
        <f t="shared" si="3"/>
        <v>1</v>
      </c>
      <c r="AB27" s="1814">
        <f t="shared" si="4"/>
        <v>1</v>
      </c>
      <c r="AC27" s="1814">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1"/>
      <c r="Q28" s="1813" t="str">
        <f t="shared" si="8"/>
        <v>毗邻道路的类型与等级</v>
      </c>
      <c r="R28" s="774" t="s">
        <v>17</v>
      </c>
      <c r="S28" s="775">
        <f t="shared" si="10"/>
        <v>100</v>
      </c>
      <c r="T28" s="774" t="s">
        <v>17</v>
      </c>
      <c r="U28" s="775">
        <f t="shared" si="11"/>
        <v>100</v>
      </c>
      <c r="V28" s="774" t="s">
        <v>17</v>
      </c>
      <c r="W28" s="775">
        <f t="shared" si="12"/>
        <v>100</v>
      </c>
      <c r="X28" s="1816"/>
      <c r="Y28" s="3241"/>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41"/>
      <c r="Q29" s="1813"/>
      <c r="R29" s="774"/>
      <c r="S29" s="775"/>
      <c r="T29" s="774"/>
      <c r="U29" s="775"/>
      <c r="V29" s="774"/>
      <c r="W29" s="775"/>
      <c r="X29" s="1816"/>
      <c r="Y29" s="3241"/>
      <c r="Z29" s="1817"/>
      <c r="AA29" s="1814">
        <v>1</v>
      </c>
      <c r="AB29" s="1814">
        <v>1</v>
      </c>
      <c r="AC29" s="1814">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1"/>
      <c r="Q30" s="1813" t="str">
        <f t="shared" si="8"/>
        <v>土地级别</v>
      </c>
      <c r="R30" s="774" t="s">
        <v>17</v>
      </c>
      <c r="S30" s="775">
        <f t="shared" si="10"/>
        <v>100</v>
      </c>
      <c r="T30" s="774" t="s">
        <v>17</v>
      </c>
      <c r="U30" s="775">
        <f t="shared" si="11"/>
        <v>100</v>
      </c>
      <c r="V30" s="774" t="s">
        <v>17</v>
      </c>
      <c r="W30" s="775">
        <f t="shared" si="12"/>
        <v>100</v>
      </c>
      <c r="X30" s="1816"/>
      <c r="Y30" s="3241"/>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1"/>
      <c r="Q31" s="1813">
        <f t="shared" si="8"/>
        <v>111</v>
      </c>
      <c r="R31" s="774" t="s">
        <v>17</v>
      </c>
      <c r="S31" s="775">
        <f t="shared" si="10"/>
        <v>100</v>
      </c>
      <c r="T31" s="774" t="s">
        <v>17</v>
      </c>
      <c r="U31" s="775">
        <f t="shared" si="11"/>
        <v>100</v>
      </c>
      <c r="V31" s="774" t="s">
        <v>17</v>
      </c>
      <c r="W31" s="775">
        <f t="shared" si="12"/>
        <v>100</v>
      </c>
      <c r="X31" s="1816"/>
      <c r="Y31" s="3241"/>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2561</v>
      </c>
      <c r="Q32" s="1813">
        <f t="shared" si="8"/>
        <v>111</v>
      </c>
      <c r="R32" s="774" t="s">
        <v>17</v>
      </c>
      <c r="S32" s="775">
        <f t="shared" si="10"/>
        <v>100</v>
      </c>
      <c r="T32" s="774" t="s">
        <v>17</v>
      </c>
      <c r="U32" s="775">
        <f t="shared" si="11"/>
        <v>100</v>
      </c>
      <c r="V32" s="774" t="s">
        <v>17</v>
      </c>
      <c r="W32" s="775">
        <f t="shared" si="12"/>
        <v>100</v>
      </c>
      <c r="X32" s="1816"/>
      <c r="Y32" s="3243" t="s">
        <v>2561</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3"/>
      <c r="Q33" s="1813">
        <f t="shared" si="8"/>
        <v>111</v>
      </c>
      <c r="R33" s="777" t="s">
        <v>17</v>
      </c>
      <c r="S33" s="778">
        <f t="shared" si="10"/>
        <v>100</v>
      </c>
      <c r="T33" s="777" t="s">
        <v>17</v>
      </c>
      <c r="U33" s="778">
        <f t="shared" si="11"/>
        <v>100</v>
      </c>
      <c r="V33" s="777" t="s">
        <v>17</v>
      </c>
      <c r="W33" s="778">
        <f t="shared" si="12"/>
        <v>100</v>
      </c>
      <c r="X33" s="779"/>
      <c r="Y33" s="3243"/>
      <c r="Z33" s="780">
        <f t="shared" si="13"/>
        <v>111</v>
      </c>
      <c r="AA33" s="1814">
        <f t="shared" si="3"/>
        <v>1</v>
      </c>
      <c r="AB33" s="1814">
        <f t="shared" si="4"/>
        <v>1</v>
      </c>
      <c r="AC33" s="1814">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3"/>
      <c r="Q34" s="1813" t="str">
        <f>B34</f>
        <v>宗地面积</v>
      </c>
      <c r="R34" s="774" t="s">
        <v>17</v>
      </c>
      <c r="S34" s="775" t="e">
        <f t="shared" si="10"/>
        <v>#N/A</v>
      </c>
      <c r="T34" s="774" t="s">
        <v>17</v>
      </c>
      <c r="U34" s="775" t="e">
        <f t="shared" si="11"/>
        <v>#N/A</v>
      </c>
      <c r="V34" s="774" t="s">
        <v>17</v>
      </c>
      <c r="W34" s="775" t="e">
        <f t="shared" si="12"/>
        <v>#N/A</v>
      </c>
      <c r="X34" s="1816"/>
      <c r="Y34" s="3243"/>
      <c r="Z34" s="1817" t="str">
        <f t="shared" si="13"/>
        <v>宗地面积</v>
      </c>
      <c r="AA34" s="1814" t="e">
        <f t="shared" si="3"/>
        <v>#N/A</v>
      </c>
      <c r="AB34" s="1814" t="e">
        <f t="shared" si="4"/>
        <v>#N/A</v>
      </c>
      <c r="AC34" s="1814"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43"/>
      <c r="Q35" s="1813" t="str">
        <f t="shared" ref="Q35:Q40" si="14">B35</f>
        <v>宗地形状</v>
      </c>
      <c r="R35" s="774" t="s">
        <v>17</v>
      </c>
      <c r="S35" s="775">
        <f t="shared" si="10"/>
        <v>100</v>
      </c>
      <c r="T35" s="774" t="s">
        <v>17</v>
      </c>
      <c r="U35" s="775">
        <f t="shared" si="11"/>
        <v>100</v>
      </c>
      <c r="V35" s="774" t="s">
        <v>17</v>
      </c>
      <c r="W35" s="775">
        <f t="shared" si="12"/>
        <v>100</v>
      </c>
      <c r="X35" s="1816"/>
      <c r="Y35" s="3243"/>
      <c r="Z35" s="1817" t="str">
        <f t="shared" si="13"/>
        <v>宗地形状</v>
      </c>
      <c r="AA35" s="1814">
        <f t="shared" si="3"/>
        <v>1</v>
      </c>
      <c r="AB35" s="1814">
        <f t="shared" si="4"/>
        <v>1</v>
      </c>
      <c r="AC35" s="1814">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43"/>
      <c r="Q36" s="1813"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43" t="s">
        <v>2561</v>
      </c>
      <c r="Q37" s="1813" t="str">
        <f t="shared" si="14"/>
        <v>工程地质条件</v>
      </c>
      <c r="R37" s="774" t="s">
        <v>17</v>
      </c>
      <c r="S37" s="775">
        <f t="shared" si="10"/>
        <v>100</v>
      </c>
      <c r="T37" s="774" t="s">
        <v>17</v>
      </c>
      <c r="U37" s="775">
        <f t="shared" si="11"/>
        <v>100</v>
      </c>
      <c r="V37" s="774" t="s">
        <v>17</v>
      </c>
      <c r="W37" s="775">
        <f t="shared" si="12"/>
        <v>100</v>
      </c>
      <c r="X37" s="1816"/>
      <c r="Y37" s="3243" t="s">
        <v>2561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3"/>
      <c r="Q38" s="1813">
        <f t="shared" si="14"/>
        <v>111</v>
      </c>
      <c r="R38" s="774" t="s">
        <v>17</v>
      </c>
      <c r="S38" s="775">
        <f t="shared" si="10"/>
        <v>100</v>
      </c>
      <c r="T38" s="774" t="s">
        <v>17</v>
      </c>
      <c r="U38" s="775">
        <f t="shared" si="11"/>
        <v>100</v>
      </c>
      <c r="V38" s="774" t="s">
        <v>17</v>
      </c>
      <c r="W38" s="775">
        <f t="shared" si="12"/>
        <v>100</v>
      </c>
      <c r="X38" s="1816"/>
      <c r="Y38" s="324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3"/>
      <c r="Q39" s="1813">
        <f t="shared" si="14"/>
        <v>111</v>
      </c>
      <c r="R39" s="774" t="s">
        <v>17</v>
      </c>
      <c r="S39" s="775">
        <f t="shared" si="10"/>
        <v>100</v>
      </c>
      <c r="T39" s="774" t="s">
        <v>17</v>
      </c>
      <c r="U39" s="775">
        <f t="shared" si="11"/>
        <v>100</v>
      </c>
      <c r="V39" s="774" t="s">
        <v>17</v>
      </c>
      <c r="W39" s="775">
        <f t="shared" si="12"/>
        <v>100</v>
      </c>
      <c r="X39" s="1816"/>
      <c r="Y39" s="3243"/>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3"/>
      <c r="Q40" s="1813">
        <f t="shared" si="14"/>
        <v>111</v>
      </c>
      <c r="R40" s="777" t="s">
        <v>17</v>
      </c>
      <c r="S40" s="778">
        <f t="shared" si="10"/>
        <v>100</v>
      </c>
      <c r="T40" s="777" t="s">
        <v>17</v>
      </c>
      <c r="U40" s="778">
        <f t="shared" si="11"/>
        <v>100</v>
      </c>
      <c r="V40" s="777" t="s">
        <v>17</v>
      </c>
      <c r="W40" s="778">
        <f t="shared" si="12"/>
        <v>100</v>
      </c>
      <c r="X40" s="779"/>
      <c r="Y40" s="3243"/>
      <c r="Z40" s="780">
        <f t="shared" si="13"/>
        <v>111</v>
      </c>
      <c r="AA40" s="1814">
        <f t="shared" si="3"/>
        <v>1</v>
      </c>
      <c r="AB40" s="1814">
        <f t="shared" si="4"/>
        <v>1</v>
      </c>
      <c r="AC40" s="1814">
        <f t="shared" si="5"/>
        <v>1</v>
      </c>
    </row>
    <row r="41" spans="1:29" ht="15">
      <c r="A41" s="479" t="s">
        <v>2716</v>
      </c>
      <c r="B41" s="2705" t="s">
        <v>2796</v>
      </c>
      <c r="C41" s="682" t="s">
        <v>1</v>
      </c>
      <c r="D41" s="481"/>
      <c r="E41" s="482"/>
      <c r="F41" s="483"/>
      <c r="G41" s="484"/>
      <c r="H41" s="485"/>
      <c r="I41" s="482"/>
      <c r="J41" s="485"/>
      <c r="K41" s="783"/>
      <c r="L41" s="1146"/>
      <c r="M41" s="1134"/>
      <c r="N41" s="1134"/>
      <c r="O41" s="1147"/>
      <c r="P41" s="3238" t="str">
        <f>A41</f>
        <v>成交单价</v>
      </c>
      <c r="Q41" s="3238"/>
      <c r="R41" s="3244">
        <f>E41</f>
        <v>0</v>
      </c>
      <c r="S41" s="3244"/>
      <c r="T41" s="3244">
        <f>G41</f>
        <v>0</v>
      </c>
      <c r="U41" s="3244"/>
      <c r="V41" s="3244">
        <f>I41</f>
        <v>0</v>
      </c>
      <c r="W41" s="3244"/>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238" t="str">
        <f>A42</f>
        <v>比较价值（元/平方米）</v>
      </c>
      <c r="Q42" s="3238"/>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232" t="str">
        <f>A43</f>
        <v>估价对象XX用房的比较价值（楼面单价，元/平方米）</v>
      </c>
      <c r="Q43" s="3233"/>
      <c r="R43" s="3234" t="e">
        <f>ROUND(AVERAGE(R42:V42),0)</f>
        <v>#DIV/0!</v>
      </c>
      <c r="S43" s="3234"/>
      <c r="T43" s="3234"/>
      <c r="U43" s="3234"/>
      <c r="V43" s="3234"/>
      <c r="W43" s="323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6" t="s">
        <v>2756</v>
      </c>
      <c r="D50" s="2707" t="s">
        <v>2757</v>
      </c>
      <c r="E50" s="686" t="s">
        <v>2758</v>
      </c>
      <c r="F50" s="687" t="s">
        <v>2759</v>
      </c>
      <c r="G50" s="3235" t="s">
        <v>2760</v>
      </c>
      <c r="H50" s="3236"/>
      <c r="I50" s="1817" t="s">
        <v>2797</v>
      </c>
      <c r="J50" s="1817" t="str">
        <f>项目基本情况!F35</f>
        <v>河南省郑州市</v>
      </c>
      <c r="K50" s="2709" t="s">
        <v>2762</v>
      </c>
      <c r="L50" s="1109"/>
      <c r="M50" s="1147"/>
      <c r="N50" s="1147"/>
      <c r="O50" s="1147"/>
    </row>
    <row r="51" spans="1:17" s="692" customFormat="1">
      <c r="A51" s="688" t="s">
        <v>2763</v>
      </c>
      <c r="B51" s="689" t="e">
        <f>C43</f>
        <v>#DIV/0!</v>
      </c>
      <c r="C51" s="690">
        <v>1</v>
      </c>
      <c r="D51" s="1166">
        <v>1</v>
      </c>
      <c r="E51" s="690">
        <f>'数据-汇总表'!E8+'数据-汇总表'!E9</f>
        <v>44886.34</v>
      </c>
      <c r="F51" s="691" t="e">
        <f t="shared" ref="F51:F60" si="15">ROUND(B51*E51/10000,0)</f>
        <v>#DIV/0!</v>
      </c>
      <c r="G51" s="3237"/>
      <c r="H51" s="3238"/>
      <c r="I51" s="945">
        <v>1</v>
      </c>
      <c r="J51" s="945">
        <v>1</v>
      </c>
      <c r="K51" s="1148"/>
      <c r="L51" s="944"/>
      <c r="M51" s="944"/>
      <c r="N51" s="944"/>
      <c r="O51" s="944"/>
    </row>
    <row r="52" spans="1:17" s="692" customFormat="1">
      <c r="A52" s="693" t="s">
        <v>2764</v>
      </c>
      <c r="B52" s="262" t="e">
        <f>ROUND($C$43*C52*D52,0)</f>
        <v>#DIV/0!</v>
      </c>
      <c r="C52" s="200">
        <f t="shared" ref="C52:C60" si="16">IF($C$50="北京市系数",I52,J52)</f>
        <v>0</v>
      </c>
      <c r="D52" s="1167">
        <v>0.25</v>
      </c>
      <c r="E52" s="694"/>
      <c r="F52" s="691" t="e">
        <f t="shared" si="15"/>
        <v>#DIV/0!</v>
      </c>
      <c r="G52" s="3239" t="s">
        <v>2765</v>
      </c>
      <c r="H52" s="1107">
        <f>项目基本情况!B37</f>
        <v>0</v>
      </c>
      <c r="I52" s="945">
        <f>SUMIF(修正!A45:A56,H52,修正!B45:B56)</f>
        <v>0</v>
      </c>
      <c r="J52" s="946"/>
      <c r="K52" s="1147"/>
      <c r="L52" s="944"/>
      <c r="M52" s="944"/>
      <c r="N52" s="944"/>
      <c r="O52" s="944"/>
    </row>
    <row r="53" spans="1:17" s="692" customFormat="1">
      <c r="A53" s="693" t="s">
        <v>2766</v>
      </c>
      <c r="B53" s="262" t="e">
        <f t="shared" ref="B53:B60" si="17">ROUND($C$43*C53*D53,0)</f>
        <v>#DIV/0!</v>
      </c>
      <c r="C53" s="200">
        <f t="shared" si="16"/>
        <v>0</v>
      </c>
      <c r="D53" s="1167">
        <v>0.25</v>
      </c>
      <c r="E53" s="694"/>
      <c r="F53" s="691" t="e">
        <f t="shared" si="15"/>
        <v>#DIV/0!</v>
      </c>
      <c r="G53" s="3239"/>
      <c r="H53" s="1107">
        <f>项目基本情况!B37</f>
        <v>0</v>
      </c>
      <c r="I53" s="945">
        <f>SUMIF(修正!A45:A56,H53,修正!C45:C56)</f>
        <v>0</v>
      </c>
      <c r="J53" s="946"/>
      <c r="K53" s="1148"/>
      <c r="L53" s="944"/>
      <c r="M53" s="944"/>
      <c r="N53" s="944"/>
      <c r="O53" s="944"/>
    </row>
    <row r="54" spans="1:17" s="692" customFormat="1">
      <c r="A54" s="693" t="s">
        <v>2767</v>
      </c>
      <c r="B54" s="262" t="e">
        <f t="shared" si="17"/>
        <v>#DIV/0!</v>
      </c>
      <c r="C54" s="200">
        <f t="shared" si="16"/>
        <v>0</v>
      </c>
      <c r="D54" s="1167">
        <v>0.25</v>
      </c>
      <c r="E54" s="694"/>
      <c r="F54" s="691" t="e">
        <f t="shared" si="15"/>
        <v>#DIV/0!</v>
      </c>
      <c r="G54" s="3239"/>
      <c r="H54" s="1107">
        <f>项目基本情况!B37</f>
        <v>0</v>
      </c>
      <c r="I54" s="945">
        <f>SUMIF(修正!A45:A56,H54,修正!D45:D56)</f>
        <v>0</v>
      </c>
      <c r="J54" s="946"/>
      <c r="K54" s="1147"/>
      <c r="L54" s="944"/>
      <c r="M54" s="944"/>
      <c r="N54" s="944"/>
      <c r="O54" s="944"/>
    </row>
    <row r="55" spans="1:17" s="692" customFormat="1">
      <c r="A55" s="693" t="s">
        <v>2768</v>
      </c>
      <c r="B55" s="262" t="e">
        <f t="shared" si="17"/>
        <v>#DIV/0!</v>
      </c>
      <c r="C55" s="200">
        <f t="shared" si="16"/>
        <v>0</v>
      </c>
      <c r="D55" s="1167">
        <v>0.25</v>
      </c>
      <c r="E55" s="694"/>
      <c r="F55" s="691" t="e">
        <f t="shared" si="15"/>
        <v>#DIV/0!</v>
      </c>
      <c r="G55" s="3239"/>
      <c r="H55" s="1107">
        <f>项目基本情况!B37</f>
        <v>0</v>
      </c>
      <c r="I55" s="945">
        <f>SUMIF(修正!A45:A56,H55,修正!E45:E56)</f>
        <v>0</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10"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v>
      </c>
      <c r="D58" s="1167">
        <v>0.25</v>
      </c>
      <c r="E58" s="261">
        <f>'数据-汇总表'!E13</f>
        <v>0</v>
      </c>
      <c r="F58" s="691"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t="e">
        <f t="shared" si="17"/>
        <v>#DIV/0!</v>
      </c>
      <c r="C59" s="200">
        <f t="shared" si="16"/>
        <v>0</v>
      </c>
      <c r="D59" s="1167">
        <v>0.25</v>
      </c>
      <c r="E59" s="261">
        <f>'数据-汇总表'!E14</f>
        <v>0</v>
      </c>
      <c r="F59" s="691" t="e">
        <f t="shared" si="15"/>
        <v>#DIV/0!</v>
      </c>
      <c r="G59" s="2710" t="s">
        <v>2765</v>
      </c>
      <c r="H59" s="1107">
        <f>项目基本情况!B37</f>
        <v>0</v>
      </c>
      <c r="I59" s="945">
        <f>SUMIF(修正!A45:A56,H59,修正!H45:H56)</f>
        <v>0</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11"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7681.84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2" t="s">
        <v>2778</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2798</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2800</v>
      </c>
      <c r="B1" s="241"/>
      <c r="C1" s="245" t="s">
        <v>2801</v>
      </c>
      <c r="D1" s="388">
        <f>SUM(D29:D30,D33:D39)</f>
        <v>0</v>
      </c>
      <c r="E1" s="2718"/>
      <c r="F1" s="2718"/>
      <c r="G1" s="2718"/>
      <c r="H1" s="2718"/>
      <c r="I1" s="2718"/>
      <c r="J1" s="2718"/>
      <c r="K1" s="1373"/>
      <c r="L1" s="2719" t="s">
        <v>2802</v>
      </c>
      <c r="M1" s="1083">
        <f>SUMPRODUCT((区片价!B5:B9=I2)*(区片价!C3:F3=E2)*(区片价!C5:F9))</f>
        <v>0</v>
      </c>
      <c r="N1" s="1086">
        <f>SUMPRODUCT((因素修正幅度!B5:B9=I2)*(因素修正幅度!C3:F3=E2)*(因素修正幅度!C5:F9))</f>
        <v>0</v>
      </c>
      <c r="O1" s="2720"/>
      <c r="P1" s="2720"/>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22" t="s">
        <v>2809</v>
      </c>
      <c r="D2" s="2723" t="s">
        <v>2810</v>
      </c>
      <c r="E2" s="2724"/>
      <c r="F2" s="2723" t="s">
        <v>2811</v>
      </c>
      <c r="G2" s="2725">
        <f>IF(E2="商业",项目基本情况!B37,IF(E2="办公",项目基本情况!C37,IF(E2="住宅",项目基本情况!D37,项目基本情况!E37)))</f>
        <v>0</v>
      </c>
      <c r="H2" s="2723" t="s">
        <v>2812</v>
      </c>
      <c r="I2" s="2725">
        <f>IF(E2="商业",项目基本情况!B38,IF(E2="办公",项目基本情况!C38,IF(E2="住宅",项目基本情况!D38,项目基本情况!E38)))</f>
        <v>0</v>
      </c>
      <c r="J2" s="2726"/>
      <c r="K2" s="1373"/>
      <c r="L2" s="2727" t="s">
        <v>2813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22" t="s">
        <v>2815</v>
      </c>
      <c r="D3" s="2723" t="s">
        <v>2816</v>
      </c>
      <c r="E3" s="2728"/>
      <c r="F3" s="2729" t="s">
        <v>2817</v>
      </c>
      <c r="G3" s="916">
        <f>IF(F3="宗地容积率",'数据-汇总表'!I4,IF(F3="估价对象容积率",'数据-汇总表'!I6,'数据-汇总表'!I7))</f>
        <v>5.84</v>
      </c>
      <c r="H3" s="198" t="s">
        <v>2818</v>
      </c>
      <c r="I3" s="947"/>
      <c r="J3" s="2726" t="s">
        <v>2819</v>
      </c>
      <c r="K3" s="1373"/>
      <c r="L3" s="2727"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41"/>
      <c r="B4" s="3342"/>
      <c r="C4" s="3342"/>
      <c r="D4" s="3343"/>
      <c r="E4" s="3343"/>
      <c r="F4" s="3343"/>
      <c r="G4" s="3343"/>
      <c r="H4" s="3343"/>
      <c r="I4" s="3343"/>
      <c r="J4" s="3344"/>
      <c r="K4" s="1373"/>
      <c r="L4" s="2727"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2822</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2824</v>
      </c>
      <c r="B6" s="2741" t="s">
        <v>2825</v>
      </c>
      <c r="C6" s="918">
        <f>SUMIF(L1:L12,G2,M1:M12)</f>
        <v>0</v>
      </c>
      <c r="D6" s="2742" t="s">
        <v>2826</v>
      </c>
      <c r="E6" s="2743"/>
      <c r="F6" s="2743"/>
      <c r="G6" s="2744"/>
      <c r="H6" s="2744"/>
      <c r="I6" s="2744"/>
      <c r="J6" s="2745"/>
      <c r="K6" s="1845"/>
      <c r="L6" s="2727"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45" t="str">
        <f>IF(E2="商业",IF(C8="不临58条商业街","",2),"")</f>
        <v/>
      </c>
      <c r="B7" s="2746" t="s">
        <v>2828</v>
      </c>
      <c r="C7" s="919" t="e">
        <f>IF(C8="不临58条商业街",1,ROUND(1+(1.6*E8+1.2*E9+0.8*E10+0.4*E11)*C9,4))</f>
        <v>#DIV/0!</v>
      </c>
      <c r="D7" s="2747" t="s">
        <v>2829</v>
      </c>
      <c r="E7" s="948"/>
      <c r="F7" s="2748"/>
      <c r="G7" s="2749"/>
      <c r="H7" s="2749"/>
      <c r="I7" s="2749"/>
      <c r="J7" s="2750"/>
      <c r="K7" s="1845"/>
      <c r="L7" s="2727" t="s">
        <v>2830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2831</v>
      </c>
      <c r="X7" s="1607">
        <f>G2</f>
        <v>0</v>
      </c>
      <c r="Y7" s="1607" t="s">
        <v>2832</v>
      </c>
      <c r="Z7" s="1608">
        <f>G3</f>
        <v>5.84</v>
      </c>
      <c r="AA7" s="1609"/>
      <c r="AB7" s="1609"/>
      <c r="AC7" s="1610"/>
      <c r="AD7" s="1611"/>
      <c r="AE7" s="1611"/>
      <c r="AF7" s="1611"/>
      <c r="AG7" s="1611"/>
      <c r="AH7" s="1611"/>
      <c r="AI7" s="1611"/>
      <c r="AJ7" s="1612"/>
    </row>
    <row r="8" spans="1:36" ht="15">
      <c r="A8" s="3346"/>
      <c r="B8" s="198" t="s">
        <v>2833</v>
      </c>
      <c r="C8" s="2751"/>
      <c r="D8" s="920" t="s">
        <v>139</v>
      </c>
      <c r="E8" s="921" t="e">
        <f>ROUND(C11/E7,4)</f>
        <v>#DIV/0!</v>
      </c>
      <c r="F8" s="2752" t="s">
        <v>2834</v>
      </c>
      <c r="G8" s="2753"/>
      <c r="H8" s="2753"/>
      <c r="I8" s="2753"/>
      <c r="J8" s="2754"/>
      <c r="K8" s="1373"/>
      <c r="L8" s="2727"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8" t="s">
        <v>2836</v>
      </c>
      <c r="X8" s="3339"/>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346"/>
      <c r="B9" s="198" t="s">
        <v>2849</v>
      </c>
      <c r="C9" s="922">
        <f>SUMIF(修正!C59:C119,C8,修正!E59:E119)</f>
        <v>0</v>
      </c>
      <c r="D9" s="200" t="s">
        <v>140</v>
      </c>
      <c r="E9" s="200" t="e">
        <f>ROUND(C11/E7,4)</f>
        <v>#DIV/0!</v>
      </c>
      <c r="F9" s="2752" t="s">
        <v>2850</v>
      </c>
      <c r="G9" s="2753"/>
      <c r="H9" s="2753"/>
      <c r="I9" s="2753"/>
      <c r="J9" s="2754"/>
      <c r="K9" s="1373"/>
      <c r="L9" s="2727"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0"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6"/>
      <c r="B10" s="198" t="s">
        <v>2854</v>
      </c>
      <c r="C10" s="200">
        <f>SUMIF(修正!C59:C119,C8,修正!F59:F119)</f>
        <v>0</v>
      </c>
      <c r="D10" s="200" t="s">
        <v>141</v>
      </c>
      <c r="E10" s="200" t="e">
        <f>ROUND(C11/E7,4)</f>
        <v>#DIV/0!</v>
      </c>
      <c r="F10" s="2752" t="s">
        <v>2855</v>
      </c>
      <c r="G10" s="2753"/>
      <c r="H10" s="2753"/>
      <c r="I10" s="2753"/>
      <c r="J10" s="2754"/>
      <c r="K10" s="1373"/>
      <c r="L10" s="2727"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6"/>
      <c r="B11" s="2755" t="s">
        <v>2857</v>
      </c>
      <c r="C11" s="923">
        <f>C10/4</f>
        <v>0</v>
      </c>
      <c r="D11" s="923" t="s">
        <v>142</v>
      </c>
      <c r="E11" s="923" t="e">
        <f>ROUND(C11/E7,4)</f>
        <v>#DIV/0!</v>
      </c>
      <c r="F11" s="2756" t="s">
        <v>2858</v>
      </c>
      <c r="G11" s="2757"/>
      <c r="H11" s="2757"/>
      <c r="I11" s="2757"/>
      <c r="J11" s="2758"/>
      <c r="K11" s="1373"/>
      <c r="L11" s="2727"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0" t="s">
        <v>2860</v>
      </c>
      <c r="X11" s="1617" t="s">
        <v>2861</v>
      </c>
      <c r="Y11" s="1618">
        <f>$G$3</f>
        <v>5.84</v>
      </c>
      <c r="Z11" s="1618">
        <f t="shared" ref="Z11:AJ11" si="3">$G$3</f>
        <v>5.84</v>
      </c>
      <c r="AA11" s="1618">
        <f t="shared" si="3"/>
        <v>5.84</v>
      </c>
      <c r="AB11" s="1618">
        <f t="shared" si="3"/>
        <v>5.84</v>
      </c>
      <c r="AC11" s="1618">
        <f t="shared" si="3"/>
        <v>5.84</v>
      </c>
      <c r="AD11" s="1618">
        <f t="shared" si="3"/>
        <v>5.84</v>
      </c>
      <c r="AE11" s="1618">
        <f t="shared" si="3"/>
        <v>5.84</v>
      </c>
      <c r="AF11" s="1618">
        <f t="shared" si="3"/>
        <v>5.84</v>
      </c>
      <c r="AG11" s="1618">
        <f t="shared" si="3"/>
        <v>5.84</v>
      </c>
      <c r="AH11" s="1618">
        <f t="shared" si="3"/>
        <v>5.84</v>
      </c>
      <c r="AI11" s="1618">
        <f t="shared" si="3"/>
        <v>5.84</v>
      </c>
      <c r="AJ11" s="1618">
        <f t="shared" si="3"/>
        <v>5.84</v>
      </c>
    </row>
    <row r="12" spans="1:36" ht="25.5" thickBot="1">
      <c r="A12" s="3345" t="s">
        <v>2862</v>
      </c>
      <c r="B12" s="2759" t="s">
        <v>2863</v>
      </c>
      <c r="C12" s="919">
        <f>ROUND(C15*D15*E15*F15*G15*H15*I15*J15,4)</f>
        <v>1</v>
      </c>
      <c r="D12" s="2760" t="s">
        <v>2864</v>
      </c>
      <c r="E12" s="2761"/>
      <c r="F12" s="2761"/>
      <c r="G12" s="2762"/>
      <c r="H12" s="2762"/>
      <c r="I12" s="2762"/>
      <c r="J12" s="2763"/>
      <c r="K12" s="1373"/>
      <c r="L12" s="2764"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0"/>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7"/>
      <c r="B13" s="2765" t="s">
        <v>2867</v>
      </c>
      <c r="C13" s="2766" t="s">
        <v>2868</v>
      </c>
      <c r="D13" s="1811" t="s">
        <v>2869</v>
      </c>
      <c r="E13" s="1811" t="s">
        <v>2870</v>
      </c>
      <c r="F13" s="30" t="s">
        <v>2871</v>
      </c>
      <c r="G13" s="2767" t="s">
        <v>2872</v>
      </c>
      <c r="H13" s="2767" t="s">
        <v>2872</v>
      </c>
      <c r="I13" s="2767" t="s">
        <v>2872</v>
      </c>
      <c r="J13" s="2768" t="s">
        <v>2872</v>
      </c>
      <c r="K13" s="1373"/>
      <c r="L13" s="1373"/>
      <c r="M13" s="1373"/>
      <c r="N13" s="1373"/>
      <c r="O13" s="1373"/>
      <c r="P13" s="1373"/>
      <c r="Q13" s="1373"/>
      <c r="R13" s="1605">
        <v>12</v>
      </c>
      <c r="S13" s="1606"/>
      <c r="T13" s="1605" t="e">
        <f t="shared" si="0"/>
        <v>#DIV/0!</v>
      </c>
      <c r="U13" s="1606"/>
      <c r="V13" s="1605" t="e">
        <f t="shared" si="1"/>
        <v>#DIV/0!</v>
      </c>
      <c r="W13" s="3340"/>
      <c r="X13" s="1619"/>
      <c r="Y13" s="1616">
        <f>(-0.163*(Y12^2)-0.59*Y12+7617)*(10^(-4))/Y11</f>
        <v>0.13042808219178084</v>
      </c>
      <c r="Z13" s="1616">
        <f t="shared" ref="Z13:AJ13" si="5">(-0.163*(Z12^2)-0.59*Z12+7617)*(10^(-4))/Z11</f>
        <v>0.13042808219178084</v>
      </c>
      <c r="AA13" s="1616">
        <f t="shared" si="5"/>
        <v>0.13042808219178084</v>
      </c>
      <c r="AB13" s="1616">
        <f t="shared" si="5"/>
        <v>0.13042808219178084</v>
      </c>
      <c r="AC13" s="1616">
        <f t="shared" si="5"/>
        <v>0.13042808219178084</v>
      </c>
      <c r="AD13" s="1616">
        <f t="shared" si="5"/>
        <v>0.13042808219178084</v>
      </c>
      <c r="AE13" s="1616">
        <f t="shared" si="5"/>
        <v>0.13042808219178084</v>
      </c>
      <c r="AF13" s="1616">
        <f t="shared" si="5"/>
        <v>0.13042808219178084</v>
      </c>
      <c r="AG13" s="1616">
        <f t="shared" si="5"/>
        <v>0.13042808219178084</v>
      </c>
      <c r="AH13" s="1616">
        <f t="shared" si="5"/>
        <v>0.13042808219178084</v>
      </c>
      <c r="AI13" s="1616">
        <f t="shared" si="5"/>
        <v>0.13042808219178084</v>
      </c>
      <c r="AJ13" s="1616">
        <f t="shared" si="5"/>
        <v>0.13042808219178084</v>
      </c>
    </row>
    <row r="14" spans="1:36" ht="15">
      <c r="A14" s="3347"/>
      <c r="B14" s="2769"/>
      <c r="C14" s="2770"/>
      <c r="D14" s="2771"/>
      <c r="E14" s="2771"/>
      <c r="F14" s="2772"/>
      <c r="G14" s="2773" t="s">
        <v>2873</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8"/>
      <c r="B15" s="2777" t="s">
        <v>2874</v>
      </c>
      <c r="C15" s="229">
        <f>IF(C14="有",1.1,1)</f>
        <v>1</v>
      </c>
      <c r="D15" s="229">
        <f>IF(D14="有",1.1,1)</f>
        <v>1</v>
      </c>
      <c r="E15" s="229">
        <f>IF(E14="有",1.1,1)</f>
        <v>1</v>
      </c>
      <c r="F15" s="229">
        <f>IF(F14="500米范围内",1.2,IF(F14="500-1000米",1.1,1))</f>
        <v>1</v>
      </c>
      <c r="G15" s="949">
        <v>1</v>
      </c>
      <c r="H15" s="949">
        <v>1</v>
      </c>
      <c r="I15" s="949">
        <v>1</v>
      </c>
      <c r="J15" s="950">
        <v>1</v>
      </c>
      <c r="K15" s="1373"/>
      <c r="L15" s="2778" t="s">
        <v>2810</v>
      </c>
      <c r="M15" s="920" t="s">
        <v>2875</v>
      </c>
      <c r="N15" s="920" t="s">
        <v>2876</v>
      </c>
      <c r="O15" s="920" t="s">
        <v>2877</v>
      </c>
      <c r="P15" s="2779"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5" t="s">
        <v>2879</v>
      </c>
      <c r="B16" s="2746" t="s">
        <v>2880</v>
      </c>
      <c r="C16" s="1804" t="e">
        <f>ROUND(SUM(G17:J17)/C17,0)</f>
        <v>#DIV/0!</v>
      </c>
      <c r="D16" s="2780" t="s">
        <v>2881</v>
      </c>
      <c r="E16" s="2781"/>
      <c r="F16" s="2782"/>
      <c r="G16" s="2783"/>
      <c r="H16" s="2783"/>
      <c r="I16" s="2783"/>
      <c r="J16" s="2784"/>
      <c r="K16" s="1373"/>
      <c r="L16" s="2785"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6"/>
      <c r="B17" s="2786" t="s">
        <v>2883</v>
      </c>
      <c r="C17" s="924">
        <f>SUMPRODUCT((修正!A2:A5=E2)*(修正!B1:M1=G2)*(修正!B2:M5))</f>
        <v>0</v>
      </c>
      <c r="D17" s="2787"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2887</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2888</v>
      </c>
      <c r="C19" s="927" t="e">
        <f>ROUND(IF(H19="按公示增长率计算",SUMPRODUCT((地价!A3:A22=YEAR(G19)&amp;"-"&amp;ROUNDUP(MONTH(G19)/3,0))*(地价!X2:AB2=E2)*(地价!X3:AB22)),IF(H19="地价指数",M20/M19,(1+I19)^O19)),4)</f>
        <v>#DIV/0!</v>
      </c>
      <c r="D19" s="2798" t="s">
        <v>2889</v>
      </c>
      <c r="E19" s="928">
        <v>41640</v>
      </c>
      <c r="F19" s="2798" t="s">
        <v>2890</v>
      </c>
      <c r="G19" s="929">
        <f>'数据-取费表'!B2</f>
        <v>43248</v>
      </c>
      <c r="H19" s="2799" t="s">
        <v>2891</v>
      </c>
      <c r="I19" s="930" t="str">
        <f>IF(H19="季度增幅（自定义）",SUMIF(N21:N24,E2,O21:O24),"")</f>
        <v/>
      </c>
      <c r="J19" s="2796"/>
      <c r="K19" s="1380"/>
      <c r="L19" s="2800" t="s">
        <v>2892</v>
      </c>
      <c r="M19" s="1737">
        <f>ROUND(SUMIF(地价!B2:F2,E2,地价!B22:F22),0)</f>
        <v>0</v>
      </c>
      <c r="N19" s="2801" t="s">
        <v>2893</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2894</v>
      </c>
      <c r="C20" s="932" t="e">
        <f>ROUND(POWER(1+G20,J20-I20)*(POWER(1+G20,I20)-1)/(POWER(1+G20,J20)-1),4)</f>
        <v>#DIV/0!</v>
      </c>
      <c r="D20" s="2807" t="s">
        <v>2895</v>
      </c>
      <c r="E20" s="1771">
        <f ca="1">存贷款利率!D4/100</f>
        <v>4.3499999999999997E-2</v>
      </c>
      <c r="F20" s="2807" t="s">
        <v>2886</v>
      </c>
      <c r="G20" s="937">
        <f>SUMIF(M15:P15,E2,M17:P17)</f>
        <v>0</v>
      </c>
      <c r="H20" s="2807" t="s">
        <v>2896</v>
      </c>
      <c r="I20" s="938" t="e">
        <f>SUMIF('数据-取费表'!C6:C15,E2,'数据-取费表'!F6:F15)/COUNTIF('数据-取费表'!C6:C15,E2)</f>
        <v>#DIV/0!</v>
      </c>
      <c r="J20" s="939">
        <f>IF(E2="住宅",70,IF(E2="商业",40,50))</f>
        <v>50</v>
      </c>
      <c r="K20" s="1380"/>
      <c r="L20" s="2808" t="s">
        <v>2897</v>
      </c>
      <c r="M20" s="1738">
        <f>ROUND(SUMPRODUCT((地价!A4:A22=YEAR(G19)&amp;"-"&amp;ROUNDUP(MONTH(G19)/3,0))*(地价!B2:F2=E2)*(地价!B4:F22)),0)</f>
        <v>0</v>
      </c>
      <c r="N20" s="2809" t="s">
        <v>2898</v>
      </c>
      <c r="O20" s="2810" t="s">
        <v>2899</v>
      </c>
      <c r="P20" s="2811" t="s">
        <v>2900</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2901</v>
      </c>
      <c r="C21" s="940">
        <f>IF(B21="容积率修正",IF(G3&lt;=10,D22,J22),C23)</f>
        <v>0</v>
      </c>
      <c r="D21" s="2814"/>
      <c r="E21" s="2814"/>
      <c r="F21" s="2814"/>
      <c r="G21" s="2814"/>
      <c r="H21" s="2814"/>
      <c r="I21" s="2814"/>
      <c r="J21" s="2815"/>
      <c r="K21" s="1380"/>
      <c r="N21" s="2816" t="s">
        <v>2902</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2903</v>
      </c>
      <c r="B22" s="2817" t="s">
        <v>2904</v>
      </c>
      <c r="C22" s="1813" t="s">
        <v>2905</v>
      </c>
      <c r="D22" s="1813">
        <f>IF(E22=G22,F22,IF(G3&lt;=10,ROUND(F22+(H22-F22)*(G3-E22)/(G22-E22),4),"——"))</f>
        <v>0</v>
      </c>
      <c r="E22" s="916">
        <f>ROUNDDOWN(G3,1)</f>
        <v>5.8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2906</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2907</v>
      </c>
      <c r="B23" s="2818" t="s">
        <v>2908</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2909</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2910</v>
      </c>
      <c r="C24" s="927">
        <f>SUMIF(A45:A88,E2,B45:B88)</f>
        <v>0</v>
      </c>
      <c r="D24" s="2794"/>
      <c r="E24" s="2824"/>
      <c r="F24" s="2824"/>
      <c r="G24" s="2824"/>
      <c r="H24" s="2824"/>
      <c r="I24" s="2824"/>
      <c r="J24" s="2825"/>
      <c r="K24" s="1380"/>
      <c r="N24" s="2826" t="s">
        <v>2911</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2912</v>
      </c>
      <c r="C25" s="933"/>
      <c r="D25" s="2749"/>
      <c r="E25" s="2749"/>
      <c r="F25" s="2828"/>
      <c r="G25" s="2749"/>
      <c r="H25" s="2749"/>
      <c r="I25" s="2749"/>
      <c r="J25" s="2750"/>
      <c r="K25" s="1373"/>
      <c r="N25" s="2829" t="s">
        <v>2913</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2914</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2915</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2916</v>
      </c>
      <c r="C28" s="2841" t="s">
        <v>2917</v>
      </c>
      <c r="D28" s="2841" t="s">
        <v>2918</v>
      </c>
      <c r="E28" s="2842" t="s">
        <v>2919</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2920</v>
      </c>
      <c r="C29" s="206" t="e">
        <f>ROUND(C5*C18*C19*C20*C21*C24,0)</f>
        <v>#DIV/0!</v>
      </c>
      <c r="D29" s="2846"/>
      <c r="E29" s="945" t="e">
        <f>ROUND(C29*D29/10000,0)</f>
        <v>#DIV/0!</v>
      </c>
      <c r="F29" s="2847" t="s">
        <v>2921</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2922</v>
      </c>
      <c r="C30" s="229" t="e">
        <f>ROUND(IF(E2="工业",C29*M39,C29*M38),0)</f>
        <v>#DIV/0!</v>
      </c>
      <c r="D30" s="2852"/>
      <c r="E30" s="945" t="e">
        <f>ROUND(C30*D30/10000,0)</f>
        <v>#DIV/0!</v>
      </c>
      <c r="F30" s="2853" t="s">
        <v>2923</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2924</v>
      </c>
      <c r="C31" s="2858" t="s">
        <v>2925</v>
      </c>
      <c r="D31" s="2762"/>
      <c r="E31" s="2858"/>
      <c r="F31" s="2858"/>
      <c r="G31" s="2760" t="s">
        <v>2926</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2917</v>
      </c>
      <c r="D32" s="498" t="s">
        <v>2918</v>
      </c>
      <c r="E32" s="498" t="s">
        <v>2919</v>
      </c>
      <c r="F32" s="388" t="s">
        <v>2927</v>
      </c>
      <c r="G32" s="2861" t="s">
        <v>2917</v>
      </c>
      <c r="H32" s="2861" t="s">
        <v>2918</v>
      </c>
      <c r="I32" s="2861"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55" t="s">
        <v>2928</v>
      </c>
      <c r="B33" s="2862" t="s">
        <v>2929</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6"/>
      <c r="B34" s="2766" t="s">
        <v>2930</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6"/>
      <c r="B35" s="2766" t="s">
        <v>2931</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57"/>
      <c r="B36" s="2766" t="s">
        <v>2932</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2933</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2934</v>
      </c>
      <c r="M37" s="2866"/>
      <c r="N37" s="1373"/>
      <c r="O37" s="1373"/>
      <c r="P37" s="1373"/>
      <c r="Q37" s="1373"/>
      <c r="R37" s="1373"/>
      <c r="S37" s="1373"/>
      <c r="T37" s="1373"/>
      <c r="U37" s="1373"/>
      <c r="V37" s="1373"/>
      <c r="W37" s="1373"/>
      <c r="X37" s="1373"/>
      <c r="Y37" s="1373"/>
      <c r="Z37" s="1374"/>
    </row>
    <row r="38" spans="1:37">
      <c r="A38" s="2864"/>
      <c r="B38" s="2766" t="s">
        <v>2935</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2936</v>
      </c>
      <c r="M38" s="2867">
        <v>0.25</v>
      </c>
      <c r="N38" s="1373"/>
      <c r="O38" s="1373"/>
      <c r="P38" s="1373"/>
      <c r="Q38" s="1373"/>
      <c r="R38" s="1373"/>
      <c r="S38" s="1373"/>
      <c r="T38" s="1373"/>
      <c r="U38" s="1373"/>
      <c r="V38" s="1373"/>
      <c r="W38" s="1373"/>
      <c r="X38" s="1373"/>
      <c r="Y38" s="1373"/>
      <c r="Z38" s="1374"/>
    </row>
    <row r="39" spans="1:37" ht="13.5" thickBot="1">
      <c r="A39" s="2850"/>
      <c r="B39" s="2868" t="s">
        <v>2937</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2878</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2938</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2939</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2940</v>
      </c>
      <c r="B47" s="1812" t="s">
        <v>2941</v>
      </c>
      <c r="C47" s="1812" t="s">
        <v>2942</v>
      </c>
      <c r="D47" s="1812" t="s">
        <v>2943</v>
      </c>
      <c r="E47" s="819" t="s">
        <v>2944</v>
      </c>
      <c r="F47" s="2880" t="s">
        <v>2945</v>
      </c>
      <c r="G47" s="1812" t="s">
        <v>754</v>
      </c>
      <c r="H47" s="2881" t="s">
        <v>2946</v>
      </c>
      <c r="I47" s="1812" t="s">
        <v>2947</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79" t="s">
        <v>2948</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2949</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2950</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2951</v>
      </c>
      <c r="B51" s="2884" t="s">
        <v>2952</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2953</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2954</v>
      </c>
      <c r="B53" s="2885" t="s">
        <v>2955</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2956</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2957</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2958</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2959</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2940</v>
      </c>
      <c r="B58" s="1812"/>
      <c r="C58" s="1812" t="s">
        <v>2942</v>
      </c>
      <c r="D58" s="1812" t="s">
        <v>2943</v>
      </c>
      <c r="E58" s="819" t="s">
        <v>2944</v>
      </c>
      <c r="F58" s="2880" t="s">
        <v>2960</v>
      </c>
      <c r="G58" s="1812" t="s">
        <v>754</v>
      </c>
      <c r="H58" s="2881" t="s">
        <v>2946</v>
      </c>
      <c r="I58" s="1812" t="s">
        <v>2947</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79" t="s">
        <v>2961</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2949</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2950</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2951</v>
      </c>
      <c r="B62" s="2884" t="s">
        <v>2952</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2953</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2954</v>
      </c>
      <c r="B64" s="2885" t="s">
        <v>2955</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2956</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2957</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2958</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2962</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2940</v>
      </c>
      <c r="B69" s="1812"/>
      <c r="C69" s="1812" t="s">
        <v>2942</v>
      </c>
      <c r="D69" s="1812" t="s">
        <v>2943</v>
      </c>
      <c r="E69" s="819" t="s">
        <v>2944</v>
      </c>
      <c r="F69" s="2880" t="s">
        <v>2960</v>
      </c>
      <c r="G69" s="1812" t="s">
        <v>754</v>
      </c>
      <c r="H69" s="2881" t="s">
        <v>2946</v>
      </c>
      <c r="I69" s="1812" t="s">
        <v>2947</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79" t="s">
        <v>2963</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2949</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2950</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2964</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2956</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2957</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2954</v>
      </c>
      <c r="B76" s="2885" t="s">
        <v>2955</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2958</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2965</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2966</v>
      </c>
      <c r="B79" s="2876">
        <f>1+E81</f>
        <v>1</v>
      </c>
      <c r="C79" s="814"/>
      <c r="D79" s="814"/>
      <c r="E79" s="815"/>
      <c r="F79" s="2878"/>
      <c r="G79" s="6"/>
      <c r="H79" s="6"/>
      <c r="I79" s="6"/>
      <c r="J79" s="7"/>
      <c r="K79" s="7"/>
      <c r="L79" s="7"/>
      <c r="M79" s="7"/>
      <c r="N79" s="7"/>
      <c r="Z79" s="2721"/>
      <c r="AA79" s="2797"/>
      <c r="AG79" s="1375"/>
      <c r="AK79" s="2797"/>
    </row>
    <row r="80" spans="1:37" ht="24.75">
      <c r="A80" s="2879" t="s">
        <v>2940</v>
      </c>
      <c r="B80" s="1812"/>
      <c r="C80" s="1812" t="s">
        <v>2942</v>
      </c>
      <c r="D80" s="1812" t="s">
        <v>2943</v>
      </c>
      <c r="E80" s="819" t="s">
        <v>2944</v>
      </c>
      <c r="F80" s="2880" t="s">
        <v>2960</v>
      </c>
      <c r="G80" s="1812" t="s">
        <v>754</v>
      </c>
      <c r="H80" s="2881" t="s">
        <v>2946</v>
      </c>
      <c r="I80" s="1812" t="s">
        <v>2947</v>
      </c>
      <c r="J80" s="603" t="s">
        <v>2593</v>
      </c>
      <c r="K80" s="603" t="s">
        <v>2594</v>
      </c>
      <c r="L80" s="603" t="s">
        <v>2595</v>
      </c>
      <c r="M80" s="603" t="s">
        <v>2596</v>
      </c>
      <c r="N80" s="603" t="s">
        <v>2597</v>
      </c>
      <c r="Z80" s="2721"/>
      <c r="AA80" s="2797"/>
      <c r="AG80" s="1375"/>
      <c r="AK80" s="2797"/>
    </row>
    <row r="81" spans="1:37" ht="38.25">
      <c r="A81" s="2879" t="s">
        <v>2967</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2949</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2950</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2964</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2956</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2957</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2954</v>
      </c>
      <c r="B87" s="2885" t="s">
        <v>2968</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2969</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49" t="s">
        <v>2970</v>
      </c>
      <c r="B90" s="3349"/>
      <c r="C90" s="3349"/>
      <c r="D90" s="3349"/>
      <c r="E90" s="3349"/>
      <c r="F90" s="3349"/>
      <c r="G90" s="3349"/>
      <c r="H90" s="3349"/>
      <c r="I90" s="3349"/>
      <c r="J90" s="3349"/>
      <c r="K90" s="2893"/>
      <c r="L90" s="2893"/>
      <c r="M90" s="2893"/>
      <c r="N90" s="2893"/>
    </row>
    <row r="91" spans="1:37">
      <c r="A91" s="3351" t="s">
        <v>2971</v>
      </c>
      <c r="B91" s="3351" t="s">
        <v>2972</v>
      </c>
      <c r="C91" s="2847" t="s">
        <v>2973</v>
      </c>
      <c r="D91" s="2848"/>
      <c r="E91" s="2848"/>
      <c r="F91" s="2848"/>
      <c r="G91" s="2848"/>
      <c r="H91" s="2848"/>
      <c r="I91" s="2848"/>
      <c r="J91" s="2894"/>
      <c r="K91" s="2895"/>
      <c r="L91" s="2895"/>
      <c r="M91" s="2895"/>
      <c r="N91" s="2895"/>
    </row>
    <row r="92" spans="1:37">
      <c r="A92" s="3351"/>
      <c r="B92" s="3351"/>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352" t="s">
        <v>2974</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5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5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5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5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5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53"/>
      <c r="B99" s="2896" t="s">
        <v>2853</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5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52" t="s">
        <v>2975</v>
      </c>
      <c r="B101" s="2900" t="s">
        <v>2976</v>
      </c>
      <c r="C101" s="2901">
        <f>$G$3</f>
        <v>5.84</v>
      </c>
      <c r="D101" s="2901">
        <f t="shared" ref="D101:N101" si="31">$G$3</f>
        <v>5.84</v>
      </c>
      <c r="E101" s="2901">
        <f t="shared" si="31"/>
        <v>5.84</v>
      </c>
      <c r="F101" s="2901">
        <f t="shared" si="31"/>
        <v>5.84</v>
      </c>
      <c r="G101" s="2901">
        <f t="shared" si="31"/>
        <v>5.84</v>
      </c>
      <c r="H101" s="2901">
        <f t="shared" si="31"/>
        <v>5.84</v>
      </c>
      <c r="I101" s="2901">
        <f t="shared" si="31"/>
        <v>5.84</v>
      </c>
      <c r="J101" s="2901">
        <f t="shared" si="31"/>
        <v>5.84</v>
      </c>
      <c r="K101" s="2901">
        <f t="shared" si="31"/>
        <v>5.84</v>
      </c>
      <c r="L101" s="2901">
        <f t="shared" si="31"/>
        <v>5.84</v>
      </c>
      <c r="M101" s="2901">
        <f t="shared" si="31"/>
        <v>5.84</v>
      </c>
      <c r="N101" s="2901">
        <f t="shared" si="31"/>
        <v>5.84</v>
      </c>
    </row>
    <row r="102" spans="1:14">
      <c r="A102" s="3353"/>
      <c r="B102" s="2896">
        <v>1</v>
      </c>
      <c r="C102" s="2897">
        <f>1.9362/C101</f>
        <v>0.33154109589041098</v>
      </c>
      <c r="D102" s="2897">
        <f>1.9362/D101</f>
        <v>0.33154109589041098</v>
      </c>
      <c r="E102" s="2897">
        <f>1.8629/E101</f>
        <v>0.31898972602739728</v>
      </c>
      <c r="F102" s="2897">
        <f>1.8629/F101</f>
        <v>0.31898972602739728</v>
      </c>
      <c r="G102" s="2897">
        <f>1.8629/G101</f>
        <v>0.31898972602739728</v>
      </c>
      <c r="H102" s="2897">
        <f>1.8629/H101</f>
        <v>0.31898972602739728</v>
      </c>
      <c r="I102" s="2897">
        <f>1.8629/I101</f>
        <v>0.31898972602739728</v>
      </c>
      <c r="J102" s="2897">
        <f>1.942/J101</f>
        <v>0.33253424657534247</v>
      </c>
      <c r="K102" s="2897">
        <f>1.942/K101</f>
        <v>0.33253424657534247</v>
      </c>
      <c r="L102" s="2897">
        <f>1.942/L101</f>
        <v>0.33253424657534247</v>
      </c>
      <c r="M102" s="2897">
        <f>1.942/M101</f>
        <v>0.33253424657534247</v>
      </c>
      <c r="N102" s="2897">
        <f>1.942/N101</f>
        <v>0.33253424657534247</v>
      </c>
    </row>
    <row r="103" spans="1:14">
      <c r="A103" s="3353"/>
      <c r="B103" s="2896">
        <v>2</v>
      </c>
      <c r="C103" s="2897">
        <f>1.4198/C101</f>
        <v>0.24311643835616439</v>
      </c>
      <c r="D103" s="2897">
        <f>1.4198/D101</f>
        <v>0.24311643835616439</v>
      </c>
      <c r="E103" s="2897">
        <f>1.3372/E101</f>
        <v>0.22897260273972603</v>
      </c>
      <c r="F103" s="2897">
        <f>1.3372/F101</f>
        <v>0.22897260273972603</v>
      </c>
      <c r="G103" s="2897">
        <f>1.3372/G101</f>
        <v>0.22897260273972603</v>
      </c>
      <c r="H103" s="2897">
        <f>1.3372/H101</f>
        <v>0.22897260273972603</v>
      </c>
      <c r="I103" s="2897">
        <f>1.3372/I101</f>
        <v>0.22897260273972603</v>
      </c>
      <c r="J103" s="2897">
        <f>1.2799/J101</f>
        <v>0.21916095890410961</v>
      </c>
      <c r="K103" s="2897">
        <f>1.2799/K101</f>
        <v>0.21916095890410961</v>
      </c>
      <c r="L103" s="2897">
        <f>1.2799/L101</f>
        <v>0.21916095890410961</v>
      </c>
      <c r="M103" s="2897">
        <f>1.2799/M101</f>
        <v>0.21916095890410961</v>
      </c>
      <c r="N103" s="2897">
        <f>1.2799/N101</f>
        <v>0.21916095890410961</v>
      </c>
    </row>
    <row r="104" spans="1:14">
      <c r="A104" s="3353"/>
      <c r="B104" s="2896">
        <v>3</v>
      </c>
      <c r="C104" s="2897">
        <f>1.1594/C101</f>
        <v>0.19852739726027396</v>
      </c>
      <c r="D104" s="2897">
        <f>1.1594/D101</f>
        <v>0.19852739726027396</v>
      </c>
      <c r="E104" s="2897">
        <f>1.0788/E101</f>
        <v>0.18472602739726027</v>
      </c>
      <c r="F104" s="2897">
        <f>1.0788/F101</f>
        <v>0.18472602739726027</v>
      </c>
      <c r="G104" s="2897">
        <f>1.0788/G101</f>
        <v>0.18472602739726027</v>
      </c>
      <c r="H104" s="2897">
        <f>1.0788/H101</f>
        <v>0.18472602739726027</v>
      </c>
      <c r="I104" s="2897">
        <f>1.0788/I101</f>
        <v>0.18472602739726027</v>
      </c>
      <c r="J104" s="2897">
        <f>1.0072/J101</f>
        <v>0.17246575342465756</v>
      </c>
      <c r="K104" s="2897">
        <f>1.0072/K101</f>
        <v>0.17246575342465756</v>
      </c>
      <c r="L104" s="2897">
        <f>1.0072/L101</f>
        <v>0.17246575342465756</v>
      </c>
      <c r="M104" s="2897">
        <f>1.0072/M101</f>
        <v>0.17246575342465756</v>
      </c>
      <c r="N104" s="2897">
        <f>1.0072/N101</f>
        <v>0.17246575342465756</v>
      </c>
    </row>
    <row r="105" spans="1:14">
      <c r="A105" s="3353"/>
      <c r="B105" s="2896">
        <v>4</v>
      </c>
      <c r="C105" s="2897">
        <f>0.9622/C101</f>
        <v>0.16476027397260276</v>
      </c>
      <c r="D105" s="2897">
        <f>0.9622/D101</f>
        <v>0.16476027397260276</v>
      </c>
      <c r="E105" s="2897">
        <f>0.8656/E101</f>
        <v>0.14821917808219179</v>
      </c>
      <c r="F105" s="2897">
        <f>0.8656/F101</f>
        <v>0.14821917808219179</v>
      </c>
      <c r="G105" s="2897">
        <f>0.8656/G101</f>
        <v>0.14821917808219179</v>
      </c>
      <c r="H105" s="2897">
        <f>0.8656/H101</f>
        <v>0.14821917808219179</v>
      </c>
      <c r="I105" s="2897">
        <f>0.8656/I101</f>
        <v>0.14821917808219179</v>
      </c>
      <c r="J105" s="2897">
        <f>0.7525/J101</f>
        <v>0.1288527397260274</v>
      </c>
      <c r="K105" s="2897">
        <f>0.7525/K101</f>
        <v>0.1288527397260274</v>
      </c>
      <c r="L105" s="2897">
        <f>0.7525/L101</f>
        <v>0.1288527397260274</v>
      </c>
      <c r="M105" s="2897">
        <f>0.7525/M101</f>
        <v>0.1288527397260274</v>
      </c>
      <c r="N105" s="2897">
        <f>0.7525/N101</f>
        <v>0.1288527397260274</v>
      </c>
    </row>
    <row r="106" spans="1:14">
      <c r="A106" s="3353"/>
      <c r="B106" s="2896">
        <v>5</v>
      </c>
      <c r="C106" s="2897">
        <f>0.8417/C101</f>
        <v>0.14412671232876711</v>
      </c>
      <c r="D106" s="2897">
        <f>0.8417/D101</f>
        <v>0.14412671232876711</v>
      </c>
      <c r="E106" s="2897">
        <f>0.7371/E101</f>
        <v>0.12621575342465755</v>
      </c>
      <c r="F106" s="2897">
        <f>0.7371/F101</f>
        <v>0.12621575342465755</v>
      </c>
      <c r="G106" s="2897">
        <f>0.7371/G101</f>
        <v>0.12621575342465755</v>
      </c>
      <c r="H106" s="2897">
        <f>0.7371/H101</f>
        <v>0.12621575342465755</v>
      </c>
      <c r="I106" s="2897">
        <f>0.7371/I101</f>
        <v>0.12621575342465755</v>
      </c>
      <c r="J106" s="2897">
        <f>0.5659/J101</f>
        <v>9.6900684931506845E-2</v>
      </c>
      <c r="K106" s="2897">
        <f>0.5659/K101</f>
        <v>9.6900684931506845E-2</v>
      </c>
      <c r="L106" s="2897">
        <f>0.5659/L101</f>
        <v>9.6900684931506845E-2</v>
      </c>
      <c r="M106" s="2897">
        <f>0.5659/M101</f>
        <v>9.6900684931506845E-2</v>
      </c>
      <c r="N106" s="2897">
        <f>0.5659/N101</f>
        <v>9.6900684931506845E-2</v>
      </c>
    </row>
    <row r="107" spans="1:14">
      <c r="A107" s="3353"/>
      <c r="B107" s="2896">
        <v>6</v>
      </c>
      <c r="C107" s="2897">
        <f>0.7608/C101</f>
        <v>0.13027397260273973</v>
      </c>
      <c r="D107" s="2897">
        <f>0.7608/D101</f>
        <v>0.13027397260273973</v>
      </c>
      <c r="E107" s="2897">
        <f>0.6482/E101</f>
        <v>0.11099315068493151</v>
      </c>
      <c r="F107" s="2897">
        <f>0.6482/F101</f>
        <v>0.11099315068493151</v>
      </c>
      <c r="G107" s="2897">
        <f>0.6482/G101</f>
        <v>0.11099315068493151</v>
      </c>
      <c r="H107" s="2897">
        <f>0.6482/H101</f>
        <v>0.11099315068493151</v>
      </c>
      <c r="I107" s="2897">
        <f>0.6482/I101</f>
        <v>0.11099315068493151</v>
      </c>
      <c r="J107" s="2897">
        <f>0.4525/J101</f>
        <v>7.7482876712328771E-2</v>
      </c>
      <c r="K107" s="2897">
        <f>0.4525/K101</f>
        <v>7.7482876712328771E-2</v>
      </c>
      <c r="L107" s="2897">
        <f>0.4525/L101</f>
        <v>7.7482876712328771E-2</v>
      </c>
      <c r="M107" s="2897">
        <f>0.4525/M101</f>
        <v>7.7482876712328771E-2</v>
      </c>
      <c r="N107" s="2897">
        <f>0.4525/N101</f>
        <v>7.7482876712328771E-2</v>
      </c>
    </row>
    <row r="108" spans="1:14">
      <c r="A108" s="3353"/>
      <c r="B108" s="3198" t="s">
        <v>2977</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54"/>
      <c r="B109" s="3199"/>
      <c r="C109" s="2899">
        <f>(-0.163*(C108^2)-0.59*C108+7617)*(10^(-4))/C101</f>
        <v>0.13042808219178084</v>
      </c>
      <c r="D109" s="2899">
        <f>(-0.163*(D108^2)-0.59*D108+7617)*(10^(-4))/D101</f>
        <v>0.13042808219178084</v>
      </c>
      <c r="E109" s="2899">
        <f>(-0.161*(E108^2)-7.509*E108+6533)*(10^(-4))/E101</f>
        <v>0.11186643835616439</v>
      </c>
      <c r="F109" s="2899">
        <f>(-0.161*(F108^2)-7.509*F108+6533)*(10^(-4))/F101</f>
        <v>0.11186643835616439</v>
      </c>
      <c r="G109" s="2899">
        <f>(-0.161*(G108^2)-7.509*G108+6533)*(10^(-4))/G101</f>
        <v>0.11186643835616439</v>
      </c>
      <c r="H109" s="2899">
        <f>(-0.161*(H108^2)-7.509*H108+6533)*(10^(-4))/H101</f>
        <v>0.11186643835616439</v>
      </c>
      <c r="I109" s="2899">
        <f>(-0.161*(I108^2)-7.509*I108+6533)*(10^(-4))/I101</f>
        <v>0.11186643835616439</v>
      </c>
      <c r="J109" s="2899">
        <f>(-0.214*(J108^2)-21.991*J108+4665)*(10^(-4))/J101</f>
        <v>7.9880136986301378E-2</v>
      </c>
      <c r="K109" s="2899">
        <f>(-0.214*(K108^2)-21.991*K108+4665)*(10^(-4))/K101</f>
        <v>7.9880136986301378E-2</v>
      </c>
      <c r="L109" s="2899">
        <f>(-0.214*(L108^2)-21.991*L108+4665)*(10^(-4))/L101</f>
        <v>7.9880136986301378E-2</v>
      </c>
      <c r="M109" s="2899">
        <f>(-0.214*(M108^2)-21.991*M108+4665)*(10^(-4))/M101</f>
        <v>7.9880136986301378E-2</v>
      </c>
      <c r="N109" s="2899">
        <f>(-0.214*(N108^2)-21.991*N108+4665)*(10^(-4))/N101</f>
        <v>7.9880136986301378E-2</v>
      </c>
    </row>
    <row r="110" spans="1:14">
      <c r="A110" s="3350" t="s">
        <v>2978</v>
      </c>
      <c r="B110" s="3350"/>
      <c r="C110" s="3350"/>
      <c r="D110" s="3350"/>
      <c r="E110" s="3350"/>
      <c r="F110" s="3350"/>
      <c r="G110" s="3350"/>
      <c r="H110" s="3350"/>
      <c r="I110" s="3350"/>
      <c r="J110" s="3350"/>
      <c r="K110" s="2902"/>
      <c r="L110" s="2902"/>
      <c r="M110" s="2902"/>
      <c r="N110" s="2902"/>
    </row>
    <row r="112" spans="1:14" ht="13.5" thickBot="1"/>
    <row r="113" spans="1:13" ht="25.5" thickBot="1">
      <c r="A113" s="903" t="s">
        <v>2979</v>
      </c>
      <c r="B113" s="1290">
        <f>G3</f>
        <v>5.84</v>
      </c>
      <c r="C113" s="904" t="s">
        <v>2980</v>
      </c>
      <c r="D113" s="905">
        <f>SUMPRODUCT((A115:A118=F113)*(B114:M114=H113)*B115:M118)</f>
        <v>0</v>
      </c>
      <c r="E113" s="2725" t="s">
        <v>2810</v>
      </c>
      <c r="F113" s="2904">
        <f>E2</f>
        <v>0</v>
      </c>
      <c r="G113" s="2725" t="s">
        <v>2811</v>
      </c>
      <c r="H113" s="2904">
        <f>G2</f>
        <v>0</v>
      </c>
      <c r="I113" s="2725"/>
      <c r="J113" s="2905"/>
      <c r="K113" s="2905"/>
      <c r="L113" s="2905"/>
      <c r="M113" s="2905"/>
    </row>
    <row r="114" spans="1:13">
      <c r="A114" s="908"/>
      <c r="B114" s="2906" t="s">
        <v>2981</v>
      </c>
      <c r="C114" s="2906" t="s">
        <v>2982</v>
      </c>
      <c r="D114" s="2906" t="s">
        <v>2983</v>
      </c>
      <c r="E114" s="2907" t="s">
        <v>2984</v>
      </c>
      <c r="F114" s="2907" t="s">
        <v>2985</v>
      </c>
      <c r="G114" s="2907" t="s">
        <v>2986</v>
      </c>
      <c r="H114" s="2908" t="s">
        <v>2987</v>
      </c>
      <c r="I114" s="2908" t="s">
        <v>2988</v>
      </c>
      <c r="J114" s="2909" t="s">
        <v>2989</v>
      </c>
      <c r="K114" s="2909" t="s">
        <v>2990</v>
      </c>
      <c r="L114" s="2909" t="s">
        <v>2991</v>
      </c>
      <c r="M114" s="2910" t="s">
        <v>2992</v>
      </c>
    </row>
    <row r="115" spans="1:13">
      <c r="A115" s="909" t="s">
        <v>2875</v>
      </c>
      <c r="B115" s="910">
        <f>ROUND(0.9335-0.0094*B113,4)</f>
        <v>0.87860000000000005</v>
      </c>
      <c r="C115" s="910">
        <f>B115</f>
        <v>0.87860000000000005</v>
      </c>
      <c r="D115" s="910">
        <f>ROUND(0.8331-0.0109*B113,4)</f>
        <v>0.76939999999999997</v>
      </c>
      <c r="E115" s="910">
        <f>D115</f>
        <v>0.76939999999999997</v>
      </c>
      <c r="F115" s="910">
        <f>E115</f>
        <v>0.76939999999999997</v>
      </c>
      <c r="G115" s="910">
        <f>F115</f>
        <v>0.76939999999999997</v>
      </c>
      <c r="H115" s="910">
        <f>G115</f>
        <v>0.76939999999999997</v>
      </c>
      <c r="I115" s="910">
        <f>ROUND(0.689-0.0155*B113,4)</f>
        <v>0.59850000000000003</v>
      </c>
      <c r="J115" s="910">
        <f t="shared" ref="J115:M118" si="33">I115</f>
        <v>0.59850000000000003</v>
      </c>
      <c r="K115" s="910">
        <f t="shared" si="33"/>
        <v>0.59850000000000003</v>
      </c>
      <c r="L115" s="910">
        <f t="shared" si="33"/>
        <v>0.59850000000000003</v>
      </c>
      <c r="M115" s="911">
        <f t="shared" si="33"/>
        <v>0.59850000000000003</v>
      </c>
    </row>
    <row r="116" spans="1:13">
      <c r="A116" s="909" t="s">
        <v>2876</v>
      </c>
      <c r="B116" s="910">
        <f>ROUND(0.949-0.012*B113,4)</f>
        <v>0.87890000000000001</v>
      </c>
      <c r="C116" s="910">
        <f>B116</f>
        <v>0.87890000000000001</v>
      </c>
      <c r="D116" s="910">
        <f>ROUND(0.8567-0.013*B113,4)</f>
        <v>0.78080000000000005</v>
      </c>
      <c r="E116" s="910">
        <f t="shared" ref="E116:H117" si="34">D116</f>
        <v>0.78080000000000005</v>
      </c>
      <c r="F116" s="910">
        <f t="shared" si="34"/>
        <v>0.78080000000000005</v>
      </c>
      <c r="G116" s="910">
        <f t="shared" si="34"/>
        <v>0.78080000000000005</v>
      </c>
      <c r="H116" s="910">
        <f t="shared" si="34"/>
        <v>0.78080000000000005</v>
      </c>
      <c r="I116" s="910">
        <f>ROUND(0.7694-0.014*B113,4)</f>
        <v>0.68759999999999999</v>
      </c>
      <c r="J116" s="910">
        <f t="shared" si="33"/>
        <v>0.68759999999999999</v>
      </c>
      <c r="K116" s="910">
        <f t="shared" si="33"/>
        <v>0.68759999999999999</v>
      </c>
      <c r="L116" s="910">
        <f t="shared" si="33"/>
        <v>0.68759999999999999</v>
      </c>
      <c r="M116" s="911">
        <f t="shared" si="33"/>
        <v>0.68759999999999999</v>
      </c>
    </row>
    <row r="117" spans="1:13">
      <c r="A117" s="909" t="s">
        <v>2877</v>
      </c>
      <c r="B117" s="910">
        <f>ROUND(0.8808-0.006*B113,4)</f>
        <v>0.8458</v>
      </c>
      <c r="C117" s="910">
        <f>B117</f>
        <v>0.8458</v>
      </c>
      <c r="D117" s="910">
        <f>ROUND(0.8748-0.008*B113,4)</f>
        <v>0.82809999999999995</v>
      </c>
      <c r="E117" s="910">
        <f t="shared" si="34"/>
        <v>0.82809999999999995</v>
      </c>
      <c r="F117" s="910">
        <f t="shared" si="34"/>
        <v>0.82809999999999995</v>
      </c>
      <c r="G117" s="910">
        <f t="shared" si="34"/>
        <v>0.82809999999999995</v>
      </c>
      <c r="H117" s="910">
        <f t="shared" si="34"/>
        <v>0.82809999999999995</v>
      </c>
      <c r="I117" s="910">
        <f>ROUND(0.7412-0.0095*B113,4)</f>
        <v>0.68569999999999998</v>
      </c>
      <c r="J117" s="910">
        <f t="shared" si="33"/>
        <v>0.68569999999999998</v>
      </c>
      <c r="K117" s="910">
        <f t="shared" si="33"/>
        <v>0.68569999999999998</v>
      </c>
      <c r="L117" s="910">
        <f t="shared" si="33"/>
        <v>0.68569999999999998</v>
      </c>
      <c r="M117" s="911">
        <f t="shared" si="33"/>
        <v>0.68569999999999998</v>
      </c>
    </row>
    <row r="118" spans="1:13" ht="13.5" thickBot="1">
      <c r="A118" s="714" t="s">
        <v>2878</v>
      </c>
      <c r="B118" s="912">
        <f>ROUND(0.7275-0.01*B113,4)</f>
        <v>0.66910000000000003</v>
      </c>
      <c r="C118" s="912">
        <f>B118</f>
        <v>0.66910000000000003</v>
      </c>
      <c r="D118" s="912">
        <f>ROUND(0.7043-0.012*B113,4)</f>
        <v>0.63419999999999999</v>
      </c>
      <c r="E118" s="912">
        <f>D118</f>
        <v>0.63419999999999999</v>
      </c>
      <c r="F118" s="912">
        <f>E118</f>
        <v>0.63419999999999999</v>
      </c>
      <c r="G118" s="912">
        <f>ROUND(0.6299-0.0122*B113,4)</f>
        <v>0.55869999999999997</v>
      </c>
      <c r="H118" s="912">
        <f>G118</f>
        <v>0.55869999999999997</v>
      </c>
      <c r="I118" s="912">
        <f>ROUND(0.5667-0.0136*B113,4)</f>
        <v>0.48730000000000001</v>
      </c>
      <c r="J118" s="912">
        <f t="shared" si="33"/>
        <v>0.48730000000000001</v>
      </c>
      <c r="K118" s="912">
        <f t="shared" si="33"/>
        <v>0.48730000000000001</v>
      </c>
      <c r="L118" s="912">
        <f t="shared" si="33"/>
        <v>0.48730000000000001</v>
      </c>
      <c r="M118" s="913">
        <f t="shared" si="33"/>
        <v>0.48730000000000001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8" t="s">
        <v>183</v>
      </c>
      <c r="B18" s="882" t="s">
        <v>560</v>
      </c>
      <c r="C18" s="883" t="s">
        <v>561</v>
      </c>
      <c r="D18" s="884"/>
      <c r="E18" s="882">
        <v>1</v>
      </c>
      <c r="F18" s="885" t="s">
        <v>562</v>
      </c>
      <c r="G18" s="886"/>
      <c r="H18" s="878"/>
      <c r="I18" s="878"/>
    </row>
    <row r="19" spans="1:9" s="887" customFormat="1" ht="19.5" customHeight="1">
      <c r="A19" s="3358"/>
      <c r="B19" s="3358" t="s">
        <v>563</v>
      </c>
      <c r="C19" s="883" t="s">
        <v>564</v>
      </c>
      <c r="D19" s="884"/>
      <c r="E19" s="882">
        <v>0.9</v>
      </c>
      <c r="F19" s="885" t="s">
        <v>565</v>
      </c>
      <c r="G19" s="886"/>
      <c r="H19" s="878"/>
      <c r="I19" s="878"/>
    </row>
    <row r="20" spans="1:9" s="887" customFormat="1" ht="19.5" customHeight="1">
      <c r="A20" s="3358"/>
      <c r="B20" s="3358"/>
      <c r="C20" s="883" t="s">
        <v>566</v>
      </c>
      <c r="D20" s="884"/>
      <c r="E20" s="882">
        <v>1.1000000000000001</v>
      </c>
      <c r="F20" s="885" t="s">
        <v>567</v>
      </c>
      <c r="G20" s="886"/>
      <c r="H20" s="878"/>
      <c r="I20" s="878"/>
    </row>
    <row r="21" spans="1:9" s="887" customFormat="1" ht="19.5" customHeight="1">
      <c r="A21" s="3358"/>
      <c r="B21" s="3358"/>
      <c r="C21" s="883" t="s">
        <v>568</v>
      </c>
      <c r="D21" s="884"/>
      <c r="E21" s="882">
        <v>0.8</v>
      </c>
      <c r="F21" s="885" t="s">
        <v>569</v>
      </c>
      <c r="G21" s="886"/>
      <c r="H21" s="878"/>
      <c r="I21" s="878"/>
    </row>
    <row r="22" spans="1:9" s="887" customFormat="1" ht="19.5" customHeight="1">
      <c r="A22" s="3358"/>
      <c r="B22" s="3358"/>
      <c r="C22" s="883" t="s">
        <v>570</v>
      </c>
      <c r="D22" s="884"/>
      <c r="E22" s="882">
        <v>0.5</v>
      </c>
      <c r="F22" s="885"/>
      <c r="G22" s="886"/>
      <c r="H22" s="878"/>
      <c r="I22" s="878"/>
    </row>
    <row r="23" spans="1:9" s="887" customFormat="1" ht="19.5" customHeight="1">
      <c r="A23" s="3358" t="s">
        <v>184</v>
      </c>
      <c r="B23" s="882" t="s">
        <v>560</v>
      </c>
      <c r="C23" s="883" t="s">
        <v>571</v>
      </c>
      <c r="D23" s="884"/>
      <c r="E23" s="882">
        <v>1</v>
      </c>
      <c r="F23" s="885" t="s">
        <v>572</v>
      </c>
      <c r="G23" s="886"/>
      <c r="H23" s="878"/>
      <c r="I23" s="878"/>
    </row>
    <row r="24" spans="1:9" s="887" customFormat="1" ht="19.5" customHeight="1">
      <c r="A24" s="3358"/>
      <c r="B24" s="3358" t="s">
        <v>563</v>
      </c>
      <c r="C24" s="883" t="s">
        <v>573</v>
      </c>
      <c r="D24" s="884"/>
      <c r="E24" s="882">
        <v>0.5</v>
      </c>
      <c r="F24" s="885"/>
      <c r="G24" s="886"/>
      <c r="H24" s="878"/>
      <c r="I24" s="878"/>
    </row>
    <row r="25" spans="1:9" s="887" customFormat="1" ht="19.5" customHeight="1">
      <c r="A25" s="3358"/>
      <c r="B25" s="3358"/>
      <c r="C25" s="883" t="s">
        <v>574</v>
      </c>
      <c r="D25" s="884"/>
      <c r="E25" s="882">
        <v>1.1000000000000001</v>
      </c>
      <c r="F25" s="885"/>
      <c r="G25" s="886"/>
      <c r="H25" s="878"/>
      <c r="I25" s="878"/>
    </row>
    <row r="26" spans="1:9" s="887" customFormat="1" ht="19.5" customHeight="1">
      <c r="A26" s="3358"/>
      <c r="B26" s="3358"/>
      <c r="C26" s="883" t="s">
        <v>575</v>
      </c>
      <c r="D26" s="884"/>
      <c r="E26" s="882">
        <v>1.1000000000000001</v>
      </c>
      <c r="F26" s="885"/>
      <c r="G26" s="886"/>
      <c r="H26" s="878"/>
      <c r="I26" s="878"/>
    </row>
    <row r="27" spans="1:9" s="887" customFormat="1" ht="19.5" customHeight="1">
      <c r="A27" s="3358"/>
      <c r="B27" s="3358"/>
      <c r="C27" s="883" t="s">
        <v>576</v>
      </c>
      <c r="D27" s="884"/>
      <c r="E27" s="882">
        <v>0.9</v>
      </c>
      <c r="F27" s="885" t="s">
        <v>577</v>
      </c>
      <c r="G27" s="886"/>
      <c r="H27" s="878"/>
      <c r="I27" s="878"/>
    </row>
    <row r="28" spans="1:9" s="887" customFormat="1" ht="19.5" customHeight="1">
      <c r="A28" s="3358"/>
      <c r="B28" s="3358"/>
      <c r="C28" s="883" t="s">
        <v>578</v>
      </c>
      <c r="D28" s="884"/>
      <c r="E28" s="882">
        <v>0.9</v>
      </c>
      <c r="F28" s="885" t="s">
        <v>579</v>
      </c>
      <c r="G28" s="886"/>
      <c r="H28" s="878"/>
      <c r="I28" s="878"/>
    </row>
    <row r="29" spans="1:9" s="887" customFormat="1" ht="19.5" customHeight="1">
      <c r="A29" s="3358"/>
      <c r="B29" s="3358"/>
      <c r="C29" s="883" t="s">
        <v>580</v>
      </c>
      <c r="D29" s="884"/>
      <c r="E29" s="882">
        <v>0.9</v>
      </c>
      <c r="F29" s="885" t="s">
        <v>581</v>
      </c>
      <c r="G29" s="886"/>
      <c r="H29" s="878"/>
      <c r="I29" s="878"/>
    </row>
    <row r="30" spans="1:9" s="887" customFormat="1" ht="19.5" customHeight="1">
      <c r="A30" s="3358"/>
      <c r="B30" s="3358"/>
      <c r="C30" s="883" t="s">
        <v>582</v>
      </c>
      <c r="D30" s="884"/>
      <c r="E30" s="882">
        <v>0.9</v>
      </c>
      <c r="F30" s="885" t="s">
        <v>583</v>
      </c>
      <c r="G30" s="886"/>
      <c r="H30" s="878"/>
      <c r="I30" s="878"/>
    </row>
    <row r="31" spans="1:9" s="887" customFormat="1" ht="19.5" customHeight="1">
      <c r="A31" s="3358"/>
      <c r="B31" s="3358"/>
      <c r="C31" s="883" t="s">
        <v>584</v>
      </c>
      <c r="D31" s="884"/>
      <c r="E31" s="882">
        <v>0.8</v>
      </c>
      <c r="F31" s="885" t="s">
        <v>585</v>
      </c>
      <c r="G31" s="886"/>
      <c r="H31" s="878"/>
      <c r="I31" s="878"/>
    </row>
    <row r="32" spans="1:9" s="887" customFormat="1" ht="19.5" customHeight="1">
      <c r="A32" s="3358"/>
      <c r="B32" s="3358"/>
      <c r="C32" s="883" t="s">
        <v>586</v>
      </c>
      <c r="D32" s="884"/>
      <c r="E32" s="882">
        <v>0.8</v>
      </c>
      <c r="F32" s="885" t="s">
        <v>587</v>
      </c>
      <c r="G32" s="886"/>
      <c r="H32" s="878"/>
      <c r="I32" s="878"/>
    </row>
    <row r="33" spans="1:9" s="887" customFormat="1" ht="19.5" customHeight="1">
      <c r="A33" s="3358" t="s">
        <v>185</v>
      </c>
      <c r="B33" s="882" t="s">
        <v>560</v>
      </c>
      <c r="C33" s="883" t="s">
        <v>588</v>
      </c>
      <c r="D33" s="884"/>
      <c r="E33" s="882">
        <v>1</v>
      </c>
      <c r="F33" s="885" t="s">
        <v>589</v>
      </c>
      <c r="G33" s="886"/>
      <c r="H33" s="878"/>
      <c r="I33" s="878"/>
    </row>
    <row r="34" spans="1:9" s="887" customFormat="1" ht="19.5" customHeight="1">
      <c r="A34" s="3358"/>
      <c r="B34" s="882" t="s">
        <v>563</v>
      </c>
      <c r="C34" s="883" t="s">
        <v>590</v>
      </c>
      <c r="D34" s="884"/>
      <c r="E34" s="882">
        <v>1.5</v>
      </c>
      <c r="F34" s="885" t="s">
        <v>591</v>
      </c>
      <c r="G34" s="886"/>
      <c r="H34" s="878"/>
      <c r="I34" s="878"/>
    </row>
    <row r="35" spans="1:9" s="887" customFormat="1" ht="19.5" customHeight="1">
      <c r="A35" s="3358" t="s">
        <v>186</v>
      </c>
      <c r="B35" s="882" t="s">
        <v>560</v>
      </c>
      <c r="C35" s="883" t="s">
        <v>592</v>
      </c>
      <c r="D35" s="884"/>
      <c r="E35" s="882">
        <v>1</v>
      </c>
      <c r="F35" s="885" t="s">
        <v>593</v>
      </c>
      <c r="G35" s="886"/>
      <c r="H35" s="878"/>
      <c r="I35" s="878"/>
    </row>
    <row r="36" spans="1:9" s="887" customFormat="1" ht="19.5" customHeight="1">
      <c r="A36" s="3358"/>
      <c r="B36" s="3358" t="s">
        <v>563</v>
      </c>
      <c r="C36" s="883" t="s">
        <v>594</v>
      </c>
      <c r="D36" s="884"/>
      <c r="E36" s="882">
        <v>1</v>
      </c>
      <c r="F36" s="885" t="s">
        <v>595</v>
      </c>
      <c r="G36" s="886"/>
      <c r="H36" s="878"/>
      <c r="I36" s="878"/>
    </row>
    <row r="37" spans="1:9" s="887" customFormat="1" ht="19.5" customHeight="1">
      <c r="A37" s="3358"/>
      <c r="B37" s="3358"/>
      <c r="C37" s="883" t="s">
        <v>596</v>
      </c>
      <c r="D37" s="884"/>
      <c r="E37" s="882">
        <v>1.5</v>
      </c>
      <c r="F37" s="885" t="s">
        <v>597</v>
      </c>
      <c r="G37" s="886"/>
      <c r="H37" s="878"/>
      <c r="I37" s="878"/>
    </row>
    <row r="38" spans="1:9" s="887" customFormat="1" ht="19.5" customHeight="1">
      <c r="A38" s="3358"/>
      <c r="B38" s="3358"/>
      <c r="C38" s="883" t="s">
        <v>598</v>
      </c>
      <c r="D38" s="884"/>
      <c r="E38" s="882">
        <v>1</v>
      </c>
      <c r="F38" s="885" t="s">
        <v>599</v>
      </c>
      <c r="G38" s="886"/>
      <c r="H38" s="878"/>
      <c r="I38" s="878"/>
    </row>
    <row r="39" spans="1:9" s="887" customFormat="1" ht="19.5" customHeight="1">
      <c r="A39" s="3358"/>
      <c r="B39" s="33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8" t="s">
        <v>614</v>
      </c>
      <c r="C61" s="818" t="s">
        <v>615</v>
      </c>
      <c r="D61" s="818" t="s">
        <v>616</v>
      </c>
      <c r="E61" s="895">
        <v>0.5</v>
      </c>
      <c r="F61" s="882">
        <v>80</v>
      </c>
    </row>
    <row r="62" spans="1:8" s="878" customFormat="1" ht="24">
      <c r="A62" s="882">
        <v>2</v>
      </c>
      <c r="B62" s="3358"/>
      <c r="C62" s="818" t="s">
        <v>617</v>
      </c>
      <c r="D62" s="818" t="s">
        <v>618</v>
      </c>
      <c r="E62" s="895">
        <v>0.5</v>
      </c>
      <c r="F62" s="882">
        <v>80</v>
      </c>
    </row>
    <row r="63" spans="1:8" s="878" customFormat="1" ht="36">
      <c r="A63" s="882">
        <v>3</v>
      </c>
      <c r="B63" s="3358"/>
      <c r="C63" s="818" t="s">
        <v>619</v>
      </c>
      <c r="D63" s="818" t="s">
        <v>620</v>
      </c>
      <c r="E63" s="895">
        <v>0.5</v>
      </c>
      <c r="F63" s="882">
        <v>80</v>
      </c>
    </row>
    <row r="64" spans="1:8" s="878" customFormat="1" ht="36">
      <c r="A64" s="882">
        <v>4</v>
      </c>
      <c r="B64" s="3358"/>
      <c r="C64" s="818" t="s">
        <v>621</v>
      </c>
      <c r="D64" s="818" t="s">
        <v>622</v>
      </c>
      <c r="E64" s="895">
        <v>0.4</v>
      </c>
      <c r="F64" s="882">
        <v>60</v>
      </c>
    </row>
    <row r="65" spans="1:6" s="878" customFormat="1" ht="36">
      <c r="A65" s="882">
        <v>5</v>
      </c>
      <c r="B65" s="3358"/>
      <c r="C65" s="818" t="s">
        <v>623</v>
      </c>
      <c r="D65" s="818" t="s">
        <v>624</v>
      </c>
      <c r="E65" s="895">
        <v>0.2</v>
      </c>
      <c r="F65" s="882">
        <v>30</v>
      </c>
    </row>
    <row r="66" spans="1:6" s="878" customFormat="1" ht="36">
      <c r="A66" s="882">
        <v>6</v>
      </c>
      <c r="B66" s="3358"/>
      <c r="C66" s="818" t="s">
        <v>625</v>
      </c>
      <c r="D66" s="818" t="s">
        <v>626</v>
      </c>
      <c r="E66" s="895">
        <v>0.3</v>
      </c>
      <c r="F66" s="882">
        <v>50</v>
      </c>
    </row>
    <row r="67" spans="1:6" s="878" customFormat="1" ht="36">
      <c r="A67" s="882">
        <v>7</v>
      </c>
      <c r="B67" s="3358"/>
      <c r="C67" s="818" t="s">
        <v>627</v>
      </c>
      <c r="D67" s="818" t="s">
        <v>628</v>
      </c>
      <c r="E67" s="895">
        <v>0.2</v>
      </c>
      <c r="F67" s="882">
        <v>30</v>
      </c>
    </row>
    <row r="68" spans="1:6" s="878" customFormat="1" ht="36">
      <c r="A68" s="882">
        <v>8</v>
      </c>
      <c r="B68" s="3358"/>
      <c r="C68" s="818" t="s">
        <v>629</v>
      </c>
      <c r="D68" s="818" t="s">
        <v>630</v>
      </c>
      <c r="E68" s="895">
        <v>0.2</v>
      </c>
      <c r="F68" s="882">
        <v>30</v>
      </c>
    </row>
    <row r="69" spans="1:6" s="878" customFormat="1" ht="36">
      <c r="A69" s="882">
        <v>9</v>
      </c>
      <c r="B69" s="3358"/>
      <c r="C69" s="818" t="s">
        <v>631</v>
      </c>
      <c r="D69" s="818" t="s">
        <v>632</v>
      </c>
      <c r="E69" s="895">
        <v>0.2</v>
      </c>
      <c r="F69" s="882">
        <v>30</v>
      </c>
    </row>
    <row r="70" spans="1:6" s="878" customFormat="1" ht="48">
      <c r="A70" s="882">
        <v>10</v>
      </c>
      <c r="B70" s="3358"/>
      <c r="C70" s="818" t="s">
        <v>633</v>
      </c>
      <c r="D70" s="818" t="s">
        <v>634</v>
      </c>
      <c r="E70" s="895">
        <v>0.2</v>
      </c>
      <c r="F70" s="882">
        <v>30</v>
      </c>
    </row>
    <row r="71" spans="1:6" s="878" customFormat="1" ht="48">
      <c r="A71" s="882">
        <v>11</v>
      </c>
      <c r="B71" s="3358"/>
      <c r="C71" s="818" t="s">
        <v>635</v>
      </c>
      <c r="D71" s="818" t="s">
        <v>636</v>
      </c>
      <c r="E71" s="895">
        <v>0.2</v>
      </c>
      <c r="F71" s="882">
        <v>30</v>
      </c>
    </row>
    <row r="72" spans="1:6" s="878" customFormat="1" ht="36">
      <c r="A72" s="882">
        <v>12</v>
      </c>
      <c r="B72" s="3358"/>
      <c r="C72" s="818" t="s">
        <v>637</v>
      </c>
      <c r="D72" s="818" t="s">
        <v>638</v>
      </c>
      <c r="E72" s="895">
        <v>0.5</v>
      </c>
      <c r="F72" s="882">
        <v>80</v>
      </c>
    </row>
    <row r="73" spans="1:6" s="878" customFormat="1" ht="24">
      <c r="A73" s="882">
        <v>13</v>
      </c>
      <c r="B73" s="3358"/>
      <c r="C73" s="818" t="s">
        <v>639</v>
      </c>
      <c r="D73" s="818" t="s">
        <v>640</v>
      </c>
      <c r="E73" s="895">
        <v>0.4</v>
      </c>
      <c r="F73" s="882">
        <v>60</v>
      </c>
    </row>
    <row r="74" spans="1:6" s="878" customFormat="1" ht="24">
      <c r="A74" s="882">
        <v>14</v>
      </c>
      <c r="B74" s="3358"/>
      <c r="C74" s="818" t="s">
        <v>641</v>
      </c>
      <c r="D74" s="818" t="s">
        <v>642</v>
      </c>
      <c r="E74" s="895">
        <v>0.2</v>
      </c>
      <c r="F74" s="882">
        <v>30</v>
      </c>
    </row>
    <row r="75" spans="1:6" s="878" customFormat="1" ht="24">
      <c r="A75" s="882">
        <v>15</v>
      </c>
      <c r="B75" s="3358"/>
      <c r="C75" s="818" t="s">
        <v>643</v>
      </c>
      <c r="D75" s="818" t="s">
        <v>644</v>
      </c>
      <c r="E75" s="895">
        <v>0.2</v>
      </c>
      <c r="F75" s="882">
        <v>30</v>
      </c>
    </row>
    <row r="76" spans="1:6" s="878" customFormat="1" ht="24">
      <c r="A76" s="882">
        <v>16</v>
      </c>
      <c r="B76" s="3358" t="s">
        <v>645</v>
      </c>
      <c r="C76" s="818" t="s">
        <v>646</v>
      </c>
      <c r="D76" s="818" t="s">
        <v>647</v>
      </c>
      <c r="E76" s="895">
        <v>0.5</v>
      </c>
      <c r="F76" s="882">
        <v>80</v>
      </c>
    </row>
    <row r="77" spans="1:6" s="878" customFormat="1" ht="24">
      <c r="A77" s="882">
        <v>17</v>
      </c>
      <c r="B77" s="3358"/>
      <c r="C77" s="818" t="s">
        <v>648</v>
      </c>
      <c r="D77" s="818" t="s">
        <v>649</v>
      </c>
      <c r="E77" s="895">
        <v>0.5</v>
      </c>
      <c r="F77" s="882">
        <v>80</v>
      </c>
    </row>
    <row r="78" spans="1:6" s="878" customFormat="1" ht="24">
      <c r="A78" s="882">
        <v>18</v>
      </c>
      <c r="B78" s="3358"/>
      <c r="C78" s="818" t="s">
        <v>650</v>
      </c>
      <c r="D78" s="818" t="s">
        <v>651</v>
      </c>
      <c r="E78" s="895">
        <v>0.2</v>
      </c>
      <c r="F78" s="882">
        <v>30</v>
      </c>
    </row>
    <row r="79" spans="1:6" s="878" customFormat="1" ht="24">
      <c r="A79" s="882">
        <v>19</v>
      </c>
      <c r="B79" s="3358"/>
      <c r="C79" s="818" t="s">
        <v>652</v>
      </c>
      <c r="D79" s="818" t="s">
        <v>653</v>
      </c>
      <c r="E79" s="895">
        <v>0.5</v>
      </c>
      <c r="F79" s="882">
        <v>80</v>
      </c>
    </row>
    <row r="80" spans="1:6" s="878" customFormat="1" ht="36">
      <c r="A80" s="882">
        <v>20</v>
      </c>
      <c r="B80" s="3358"/>
      <c r="C80" s="818" t="s">
        <v>654</v>
      </c>
      <c r="D80" s="818" t="s">
        <v>655</v>
      </c>
      <c r="E80" s="895">
        <v>0.2</v>
      </c>
      <c r="F80" s="882">
        <v>30</v>
      </c>
    </row>
    <row r="81" spans="1:6" s="878" customFormat="1" ht="36">
      <c r="A81" s="882">
        <v>21</v>
      </c>
      <c r="B81" s="3358"/>
      <c r="C81" s="818" t="s">
        <v>656</v>
      </c>
      <c r="D81" s="818" t="s">
        <v>657</v>
      </c>
      <c r="E81" s="895">
        <v>0.2</v>
      </c>
      <c r="F81" s="882">
        <v>30</v>
      </c>
    </row>
    <row r="82" spans="1:6" s="878" customFormat="1" ht="48">
      <c r="A82" s="882">
        <v>22</v>
      </c>
      <c r="B82" s="3358"/>
      <c r="C82" s="818" t="s">
        <v>658</v>
      </c>
      <c r="D82" s="818" t="s">
        <v>659</v>
      </c>
      <c r="E82" s="895">
        <v>0.2</v>
      </c>
      <c r="F82" s="882">
        <v>30</v>
      </c>
    </row>
    <row r="83" spans="1:6" s="878" customFormat="1" ht="48">
      <c r="A83" s="882">
        <v>23</v>
      </c>
      <c r="B83" s="3358"/>
      <c r="C83" s="818" t="s">
        <v>660</v>
      </c>
      <c r="D83" s="818" t="s">
        <v>661</v>
      </c>
      <c r="E83" s="895">
        <v>0.2</v>
      </c>
      <c r="F83" s="882">
        <v>30</v>
      </c>
    </row>
    <row r="84" spans="1:6" s="878" customFormat="1" ht="36">
      <c r="A84" s="882">
        <v>24</v>
      </c>
      <c r="B84" s="3358"/>
      <c r="C84" s="818" t="s">
        <v>662</v>
      </c>
      <c r="D84" s="818" t="s">
        <v>663</v>
      </c>
      <c r="E84" s="895">
        <v>0.2</v>
      </c>
      <c r="F84" s="882">
        <v>30</v>
      </c>
    </row>
    <row r="85" spans="1:6" s="878" customFormat="1" ht="36">
      <c r="A85" s="882">
        <v>25</v>
      </c>
      <c r="B85" s="3358"/>
      <c r="C85" s="818" t="s">
        <v>664</v>
      </c>
      <c r="D85" s="818" t="s">
        <v>665</v>
      </c>
      <c r="E85" s="895">
        <v>0.5</v>
      </c>
      <c r="F85" s="882">
        <v>80</v>
      </c>
    </row>
    <row r="86" spans="1:6" s="878" customFormat="1" ht="36">
      <c r="A86" s="882">
        <v>26</v>
      </c>
      <c r="B86" s="3358"/>
      <c r="C86" s="818" t="s">
        <v>666</v>
      </c>
      <c r="D86" s="818" t="s">
        <v>667</v>
      </c>
      <c r="E86" s="895">
        <v>0.2</v>
      </c>
      <c r="F86" s="882">
        <v>30</v>
      </c>
    </row>
    <row r="87" spans="1:6" s="878" customFormat="1" ht="36">
      <c r="A87" s="882">
        <v>27</v>
      </c>
      <c r="B87" s="3358"/>
      <c r="C87" s="818" t="s">
        <v>668</v>
      </c>
      <c r="D87" s="818" t="s">
        <v>669</v>
      </c>
      <c r="E87" s="895">
        <v>0.2</v>
      </c>
      <c r="F87" s="882">
        <v>30</v>
      </c>
    </row>
    <row r="88" spans="1:6" s="878" customFormat="1" ht="36">
      <c r="A88" s="882">
        <v>28</v>
      </c>
      <c r="B88" s="3358"/>
      <c r="C88" s="818" t="s">
        <v>670</v>
      </c>
      <c r="D88" s="818" t="s">
        <v>671</v>
      </c>
      <c r="E88" s="895">
        <v>0.2</v>
      </c>
      <c r="F88" s="882">
        <v>30</v>
      </c>
    </row>
    <row r="89" spans="1:6" s="878" customFormat="1" ht="24">
      <c r="A89" s="882">
        <v>29</v>
      </c>
      <c r="B89" s="3358"/>
      <c r="C89" s="818" t="s">
        <v>672</v>
      </c>
      <c r="D89" s="818" t="s">
        <v>673</v>
      </c>
      <c r="E89" s="895">
        <v>0.2</v>
      </c>
      <c r="F89" s="882">
        <v>30</v>
      </c>
    </row>
    <row r="90" spans="1:6" s="878" customFormat="1" ht="24">
      <c r="A90" s="882">
        <v>30</v>
      </c>
      <c r="B90" s="3358"/>
      <c r="C90" s="818" t="s">
        <v>674</v>
      </c>
      <c r="D90" s="818" t="s">
        <v>675</v>
      </c>
      <c r="E90" s="895">
        <v>0.2</v>
      </c>
      <c r="F90" s="882">
        <v>30</v>
      </c>
    </row>
    <row r="91" spans="1:6" s="878" customFormat="1" ht="36">
      <c r="A91" s="882">
        <v>31</v>
      </c>
      <c r="B91" s="3358"/>
      <c r="C91" s="818" t="s">
        <v>676</v>
      </c>
      <c r="D91" s="818" t="s">
        <v>677</v>
      </c>
      <c r="E91" s="895">
        <v>0.2</v>
      </c>
      <c r="F91" s="882">
        <v>30</v>
      </c>
    </row>
    <row r="92" spans="1:6" s="878" customFormat="1" ht="24">
      <c r="A92" s="882">
        <v>32</v>
      </c>
      <c r="B92" s="3358" t="s">
        <v>678</v>
      </c>
      <c r="C92" s="882" t="s">
        <v>679</v>
      </c>
      <c r="D92" s="818" t="s">
        <v>680</v>
      </c>
      <c r="E92" s="895">
        <v>0.2</v>
      </c>
      <c r="F92" s="882">
        <v>30</v>
      </c>
    </row>
    <row r="93" spans="1:6" s="878" customFormat="1" ht="36">
      <c r="A93" s="882">
        <v>33</v>
      </c>
      <c r="B93" s="3358"/>
      <c r="C93" s="882" t="s">
        <v>681</v>
      </c>
      <c r="D93" s="818" t="s">
        <v>682</v>
      </c>
      <c r="E93" s="895">
        <v>0.2</v>
      </c>
      <c r="F93" s="882">
        <v>30</v>
      </c>
    </row>
    <row r="94" spans="1:6" s="878" customFormat="1" ht="48">
      <c r="A94" s="882">
        <v>34</v>
      </c>
      <c r="B94" s="3358"/>
      <c r="C94" s="882" t="s">
        <v>683</v>
      </c>
      <c r="D94" s="818" t="s">
        <v>684</v>
      </c>
      <c r="E94" s="895">
        <v>0.2</v>
      </c>
      <c r="F94" s="882">
        <v>30</v>
      </c>
    </row>
    <row r="95" spans="1:6" s="878" customFormat="1" ht="36">
      <c r="A95" s="882">
        <v>35</v>
      </c>
      <c r="B95" s="3358"/>
      <c r="C95" s="882" t="s">
        <v>685</v>
      </c>
      <c r="D95" s="818" t="s">
        <v>686</v>
      </c>
      <c r="E95" s="895">
        <v>0.2</v>
      </c>
      <c r="F95" s="882">
        <v>30</v>
      </c>
    </row>
    <row r="96" spans="1:6" s="878" customFormat="1" ht="48">
      <c r="A96" s="882">
        <v>36</v>
      </c>
      <c r="B96" s="3358"/>
      <c r="C96" s="818" t="s">
        <v>687</v>
      </c>
      <c r="D96" s="818" t="s">
        <v>688</v>
      </c>
      <c r="E96" s="895">
        <v>0.2</v>
      </c>
      <c r="F96" s="882">
        <v>30</v>
      </c>
    </row>
    <row r="97" spans="1:6" s="878" customFormat="1" ht="36">
      <c r="A97" s="882">
        <v>37</v>
      </c>
      <c r="B97" s="3358"/>
      <c r="C97" s="882" t="s">
        <v>689</v>
      </c>
      <c r="D97" s="818" t="s">
        <v>690</v>
      </c>
      <c r="E97" s="895">
        <v>0.2</v>
      </c>
      <c r="F97" s="882">
        <v>30</v>
      </c>
    </row>
    <row r="98" spans="1:6" s="878" customFormat="1" ht="36">
      <c r="A98" s="882">
        <v>38</v>
      </c>
      <c r="B98" s="3358"/>
      <c r="C98" s="882" t="s">
        <v>691</v>
      </c>
      <c r="D98" s="818" t="s">
        <v>692</v>
      </c>
      <c r="E98" s="895">
        <v>0.2</v>
      </c>
      <c r="F98" s="882">
        <v>30</v>
      </c>
    </row>
    <row r="99" spans="1:6" s="878" customFormat="1" ht="36">
      <c r="A99" s="882">
        <v>39</v>
      </c>
      <c r="B99" s="3358" t="s">
        <v>693</v>
      </c>
      <c r="C99" s="882" t="s">
        <v>694</v>
      </c>
      <c r="D99" s="818" t="s">
        <v>695</v>
      </c>
      <c r="E99" s="895">
        <v>0.3</v>
      </c>
      <c r="F99" s="882">
        <v>50</v>
      </c>
    </row>
    <row r="100" spans="1:6" s="878" customFormat="1" ht="24">
      <c r="A100" s="882">
        <v>40</v>
      </c>
      <c r="B100" s="3358"/>
      <c r="C100" s="882" t="s">
        <v>696</v>
      </c>
      <c r="D100" s="818" t="s">
        <v>697</v>
      </c>
      <c r="E100" s="895">
        <v>0.2</v>
      </c>
      <c r="F100" s="882">
        <v>30</v>
      </c>
    </row>
    <row r="101" spans="1:6" s="878" customFormat="1" ht="36">
      <c r="A101" s="882">
        <v>41</v>
      </c>
      <c r="B101" s="33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8" t="s">
        <v>708</v>
      </c>
      <c r="C105" s="882" t="s">
        <v>709</v>
      </c>
      <c r="D105" s="818" t="s">
        <v>710</v>
      </c>
      <c r="E105" s="895">
        <v>0.2</v>
      </c>
      <c r="F105" s="882">
        <v>30</v>
      </c>
    </row>
    <row r="106" spans="1:6" s="878" customFormat="1" ht="36">
      <c r="A106" s="882">
        <v>46</v>
      </c>
      <c r="B106" s="3358"/>
      <c r="C106" s="882" t="s">
        <v>711</v>
      </c>
      <c r="D106" s="818" t="s">
        <v>712</v>
      </c>
      <c r="E106" s="895">
        <v>0.2</v>
      </c>
      <c r="F106" s="882">
        <v>30</v>
      </c>
    </row>
    <row r="107" spans="1:6" s="878" customFormat="1" ht="36">
      <c r="A107" s="882">
        <v>47</v>
      </c>
      <c r="B107" s="3358" t="s">
        <v>713</v>
      </c>
      <c r="C107" s="882" t="s">
        <v>714</v>
      </c>
      <c r="D107" s="818" t="s">
        <v>715</v>
      </c>
      <c r="E107" s="895">
        <v>0.3</v>
      </c>
      <c r="F107" s="882">
        <v>50</v>
      </c>
    </row>
    <row r="108" spans="1:6" s="878" customFormat="1" ht="36">
      <c r="A108" s="882">
        <v>48</v>
      </c>
      <c r="B108" s="33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8" t="s">
        <v>724</v>
      </c>
      <c r="C111" s="882" t="s">
        <v>725</v>
      </c>
      <c r="D111" s="818" t="s">
        <v>726</v>
      </c>
      <c r="E111" s="895">
        <v>0.2</v>
      </c>
      <c r="F111" s="882">
        <v>30</v>
      </c>
    </row>
    <row r="112" spans="1:6" s="878" customFormat="1" ht="24">
      <c r="A112" s="882">
        <v>52</v>
      </c>
      <c r="B112" s="3358"/>
      <c r="C112" s="882" t="s">
        <v>727</v>
      </c>
      <c r="D112" s="818" t="s">
        <v>728</v>
      </c>
      <c r="E112" s="895">
        <v>0.2</v>
      </c>
      <c r="F112" s="882">
        <v>30</v>
      </c>
    </row>
    <row r="113" spans="1:6" s="878" customFormat="1" ht="24">
      <c r="A113" s="882">
        <v>53</v>
      </c>
      <c r="B113" s="33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8" t="s">
        <v>737</v>
      </c>
      <c r="C116" s="882" t="s">
        <v>738</v>
      </c>
      <c r="D116" s="818" t="s">
        <v>739</v>
      </c>
      <c r="E116" s="895">
        <v>0.2</v>
      </c>
      <c r="F116" s="882">
        <v>30</v>
      </c>
    </row>
    <row r="117" spans="1:6" ht="36">
      <c r="A117" s="882">
        <v>57</v>
      </c>
      <c r="B117" s="33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3001</v>
      </c>
    </row>
    <row r="2" spans="1:5" ht="15.75">
      <c r="A2" s="2911" t="s">
        <v>2993</v>
      </c>
      <c r="B2" s="2912" t="e">
        <f ca="1">SUMIF(B6:B13,"&lt;&gt;#ref!",B6:B13)</f>
        <v>#DIV/0!</v>
      </c>
      <c r="C2" s="2911" t="s">
        <v>2994</v>
      </c>
      <c r="D2" s="2911" t="s">
        <v>2995</v>
      </c>
      <c r="E2" s="2912">
        <f ca="1">SUMIF(E6:E13,"&lt;&gt;#ref!",E6:E13)</f>
        <v>0</v>
      </c>
    </row>
    <row r="3" spans="1:5" ht="15.75">
      <c r="A3" s="2911" t="s">
        <v>2996</v>
      </c>
      <c r="B3" s="2912" t="e">
        <f ca="1">ROUND(B2*10000/E2,0)</f>
        <v>#DIV/0!</v>
      </c>
      <c r="C3" s="2911" t="s">
        <v>3002</v>
      </c>
      <c r="D3" s="2913"/>
      <c r="E3" s="2913"/>
    </row>
    <row r="4" spans="1:5" ht="15.75">
      <c r="A4" s="2914"/>
      <c r="B4" s="2913"/>
      <c r="C4" s="2913"/>
      <c r="D4" s="2913"/>
      <c r="E4" s="2913"/>
    </row>
    <row r="5" spans="1:5" ht="28.5">
      <c r="A5" s="2915" t="s">
        <v>2997</v>
      </c>
      <c r="B5" s="2911" t="s">
        <v>2998</v>
      </c>
      <c r="C5" s="2912"/>
      <c r="D5" s="2913"/>
      <c r="E5" s="2911" t="s">
        <v>2999</v>
      </c>
    </row>
    <row r="6" spans="1:5" ht="15.75">
      <c r="A6" s="2916" t="s">
        <v>3000</v>
      </c>
      <c r="B6" s="2912" t="e">
        <f ca="1">SUMIF(INDIRECT("'"&amp;A6&amp;"'"&amp;"!A:A"),"总价",INDIRECT("'"&amp;A6&amp;"'"&amp;"!B:B"))</f>
        <v>#DIV/0!</v>
      </c>
      <c r="C6" s="2911" t="s">
        <v>2994</v>
      </c>
      <c r="D6" s="2913"/>
      <c r="E6" s="2576">
        <f ca="1">SUMIF(INDIRECT("'"&amp;A6&amp;"'"&amp;"!C:C"),"建筑面积",INDIRECT("'"&amp;A6&amp;"'"&amp;"!D:D"))</f>
        <v>0</v>
      </c>
    </row>
    <row r="7" spans="1:5" ht="15.75">
      <c r="A7" s="2916"/>
      <c r="B7" s="2912" t="e">
        <f ca="1">SUMIF(INDIRECT("'"&amp;A7&amp;"'"&amp;"!A:A"),"总价",INDIRECT("'"&amp;A7&amp;"'"&amp;"!B:B"))</f>
        <v>#REF!</v>
      </c>
      <c r="C7" s="2911" t="s">
        <v>2994</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2994</v>
      </c>
      <c r="D8" s="2913"/>
      <c r="E8" s="2576" t="e">
        <f t="shared" ca="1" si="0"/>
        <v>#REF!</v>
      </c>
    </row>
    <row r="9" spans="1:5" ht="15.75">
      <c r="A9" s="2916"/>
      <c r="B9" s="2912" t="e">
        <f t="shared" ca="1" si="1"/>
        <v>#REF!</v>
      </c>
      <c r="C9" s="2911" t="s">
        <v>2994</v>
      </c>
      <c r="D9" s="2913"/>
      <c r="E9" s="2576" t="e">
        <f t="shared" ca="1" si="0"/>
        <v>#REF!</v>
      </c>
    </row>
    <row r="10" spans="1:5" ht="15.75">
      <c r="A10" s="2916"/>
      <c r="B10" s="2912" t="e">
        <f t="shared" ca="1" si="1"/>
        <v>#REF!</v>
      </c>
      <c r="C10" s="2911" t="s">
        <v>2994</v>
      </c>
      <c r="D10" s="2913"/>
      <c r="E10" s="2576" t="e">
        <f t="shared" ca="1" si="0"/>
        <v>#REF!</v>
      </c>
    </row>
    <row r="11" spans="1:5" ht="15.75">
      <c r="A11" s="2916"/>
      <c r="B11" s="2912" t="e">
        <f t="shared" ca="1" si="1"/>
        <v>#REF!</v>
      </c>
      <c r="C11" s="2911" t="s">
        <v>2994</v>
      </c>
      <c r="D11" s="2913"/>
      <c r="E11" s="2576" t="e">
        <f t="shared" ca="1" si="0"/>
        <v>#REF!</v>
      </c>
    </row>
    <row r="12" spans="1:5" ht="15.75">
      <c r="A12" s="2916"/>
      <c r="B12" s="2912" t="e">
        <f t="shared" ca="1" si="1"/>
        <v>#REF!</v>
      </c>
      <c r="C12" s="2911" t="s">
        <v>2994</v>
      </c>
      <c r="D12" s="2913"/>
      <c r="E12" s="2576" t="e">
        <f t="shared" ca="1" si="0"/>
        <v>#REF!</v>
      </c>
    </row>
    <row r="13" spans="1:5" ht="15.75">
      <c r="A13" s="2916"/>
      <c r="B13" s="2912" t="e">
        <f t="shared" ca="1" si="1"/>
        <v>#REF!</v>
      </c>
      <c r="C13" s="2911" t="s">
        <v>2994</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64"/>
      <c r="B4" s="3028" t="s">
        <v>1630</v>
      </c>
      <c r="C4" s="3028"/>
      <c r="D4" s="3028"/>
      <c r="E4" s="1964"/>
    </row>
    <row r="5" spans="1:5" ht="16.5" thickTop="1">
      <c r="A5" s="1962"/>
      <c r="B5" s="3026" t="s">
        <v>1622</v>
      </c>
      <c r="C5" s="1965" t="s">
        <v>1623</v>
      </c>
      <c r="D5" s="1043">
        <f ca="1">结果表!H101</f>
        <v>58072</v>
      </c>
      <c r="E5" s="1962"/>
    </row>
    <row r="6" spans="1:5" ht="15.75">
      <c r="A6" s="1962"/>
      <c r="B6" s="3026"/>
      <c r="C6" s="1965" t="s">
        <v>1624</v>
      </c>
      <c r="D6" s="1043" t="str">
        <f ca="1">NUMBERSTRING(INT(D5*10000),2)&amp;"元整"</f>
        <v>伍亿捌仟零柒拾贰万元整</v>
      </c>
      <c r="E6" s="1962"/>
    </row>
    <row r="7" spans="1:5" ht="15.75">
      <c r="A7" s="1962"/>
      <c r="B7" s="3031"/>
      <c r="C7" s="1966" t="s">
        <v>1625</v>
      </c>
      <c r="D7" s="1044">
        <f ca="1">结果表!H102</f>
        <v>12938</v>
      </c>
      <c r="E7" s="1962"/>
    </row>
    <row r="8" spans="1:5" ht="15.75">
      <c r="A8" s="1962"/>
      <c r="B8" s="3032" t="str">
        <f>结果表!E103</f>
        <v>2.估价师知悉的法定优先受偿款</v>
      </c>
      <c r="C8" s="1967" t="s">
        <v>1626</v>
      </c>
      <c r="D8" s="1044">
        <f>结果表!H103</f>
        <v>3803</v>
      </c>
      <c r="E8" s="1962"/>
    </row>
    <row r="9" spans="1:5" ht="15.75">
      <c r="A9" s="1962"/>
      <c r="B9" s="3034"/>
      <c r="C9" s="1965" t="s">
        <v>1624</v>
      </c>
      <c r="D9" s="1043" t="str">
        <f>NUMBERSTRING(INT(D8*10000),2)&amp;"元整"</f>
        <v>叁仟捌佰零叁万元整</v>
      </c>
      <c r="E9" s="1962"/>
    </row>
    <row r="10" spans="1:5" ht="15">
      <c r="A10" s="1962"/>
      <c r="B10" s="1968" t="s">
        <v>1629</v>
      </c>
      <c r="C10" s="1969" t="s">
        <v>1627</v>
      </c>
      <c r="D10" s="1045" t="str">
        <f>结果表!H104</f>
        <v>（未扣减，详见特别提示）</v>
      </c>
      <c r="E10" s="1962"/>
    </row>
    <row r="11" spans="1:5" ht="15">
      <c r="A11" s="1962"/>
      <c r="B11" s="1968" t="s">
        <v>1631</v>
      </c>
      <c r="C11" s="1969" t="s">
        <v>1632</v>
      </c>
      <c r="D11" s="1045">
        <f>结果表!H105</f>
        <v>1758</v>
      </c>
      <c r="E11" s="1962"/>
    </row>
    <row r="12" spans="1:5" ht="15">
      <c r="A12" s="1962"/>
      <c r="B12" s="1968" t="s">
        <v>1633</v>
      </c>
      <c r="C12" s="1969" t="s">
        <v>1632</v>
      </c>
      <c r="D12" s="1045">
        <f>结果表!H106</f>
        <v>2045</v>
      </c>
      <c r="E12" s="1962"/>
    </row>
    <row r="13" spans="1:5" ht="15.75">
      <c r="A13" s="1962"/>
      <c r="B13" s="3025" t="str">
        <f>结果表!E107</f>
        <v>——</v>
      </c>
      <c r="C13" s="1970" t="s">
        <v>1623</v>
      </c>
      <c r="D13" s="1046" t="str">
        <f>结果表!H107</f>
        <v>——</v>
      </c>
      <c r="E13" s="1962"/>
    </row>
    <row r="14" spans="1:5" ht="15.75">
      <c r="A14" s="1962"/>
      <c r="B14" s="3026"/>
      <c r="C14" s="1965" t="s">
        <v>1624</v>
      </c>
      <c r="D14" s="1043" t="e">
        <f>NUMBERSTRING(INT(D13*10000),2)&amp;"元整"</f>
        <v>#VALUE!</v>
      </c>
      <c r="E14" s="1962"/>
    </row>
    <row r="15" spans="1:5" ht="15">
      <c r="A15" s="1962"/>
      <c r="B15" s="3031"/>
      <c r="C15" s="1966" t="s">
        <v>1634</v>
      </c>
      <c r="D15" s="1055" t="e">
        <f>结果表!H108</f>
        <v>#VALUE!</v>
      </c>
      <c r="E15" s="1962"/>
    </row>
    <row r="16" spans="1:5" ht="15">
      <c r="A16" s="1962"/>
      <c r="B16" s="3032" t="str">
        <f>结果表!E109</f>
        <v>3.抵押担保权已注销时的房地产抵押价值</v>
      </c>
      <c r="C16" s="1970" t="s">
        <v>1635</v>
      </c>
      <c r="D16" s="1971">
        <f ca="1">结果表!H109</f>
        <v>54269</v>
      </c>
      <c r="E16" s="1962"/>
    </row>
    <row r="17" spans="1:5" ht="15.75">
      <c r="A17" s="1962"/>
      <c r="B17" s="3033"/>
      <c r="C17" s="1965" t="s">
        <v>1636</v>
      </c>
      <c r="D17" s="1043" t="str">
        <f ca="1">NUMBERSTRING(INT(D16*10000),2)&amp;"元整"</f>
        <v>伍亿肆仟贰佰陆拾玖万元整</v>
      </c>
      <c r="E17" s="1962"/>
    </row>
    <row r="18" spans="1:5" ht="15">
      <c r="A18" s="1962"/>
      <c r="B18" s="3034"/>
      <c r="C18" s="1966" t="s">
        <v>1625</v>
      </c>
      <c r="D18" s="1055">
        <f ca="1">结果表!H110</f>
        <v>12090</v>
      </c>
      <c r="E18" s="1962"/>
    </row>
    <row r="19" spans="1:5" ht="15.75">
      <c r="A19" s="1962"/>
      <c r="B19" s="3025" t="str">
        <f>结果表!E111</f>
        <v>——</v>
      </c>
      <c r="C19" s="1970" t="s">
        <v>1623</v>
      </c>
      <c r="D19" s="1044" t="str">
        <f>结果表!H111</f>
        <v>——</v>
      </c>
      <c r="E19" s="1962"/>
    </row>
    <row r="20" spans="1:5" ht="15.75">
      <c r="A20" s="1962"/>
      <c r="B20" s="3026"/>
      <c r="C20" s="1965" t="s">
        <v>1636</v>
      </c>
      <c r="D20" s="1043" t="e">
        <f>NUMBERSTRING(INT(D19*10000),2)&amp;"元整"</f>
        <v>#VALUE!</v>
      </c>
      <c r="E20" s="1962"/>
    </row>
    <row r="21" spans="1:5" ht="15.75" thickBot="1">
      <c r="A21" s="1962"/>
      <c r="B21" s="302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4" t="s">
        <v>1150</v>
      </c>
      <c r="C1" s="3364"/>
      <c r="D1" s="3364"/>
      <c r="E1" s="3364"/>
      <c r="F1" s="3364"/>
      <c r="G1" s="3363" t="s">
        <v>1151</v>
      </c>
      <c r="H1" s="3363"/>
      <c r="I1" s="3363"/>
      <c r="J1" s="3363"/>
      <c r="K1" s="3363"/>
      <c r="L1" s="3363"/>
      <c r="N1" s="3363" t="s">
        <v>1152</v>
      </c>
      <c r="O1" s="3363"/>
      <c r="P1" s="3363"/>
      <c r="Q1" s="3363"/>
      <c r="R1" s="1449"/>
      <c r="S1" s="3363" t="s">
        <v>1153</v>
      </c>
      <c r="T1" s="3363"/>
      <c r="U1" s="3363"/>
      <c r="V1" s="3363"/>
      <c r="X1" s="3362" t="s">
        <v>1154</v>
      </c>
      <c r="Y1" s="3363"/>
      <c r="Z1" s="3363"/>
      <c r="AA1" s="3363"/>
      <c r="AB1" s="3363"/>
      <c r="AD1" s="3362" t="s">
        <v>1155</v>
      </c>
      <c r="AE1" s="3363"/>
      <c r="AF1" s="3363"/>
      <c r="AG1" s="3363"/>
      <c r="AH1" s="336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3036</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3037</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3035</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3032</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65">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6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6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6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5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6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6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6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5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6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6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6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66">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67"/>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67"/>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68"/>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5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6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6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6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5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6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6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6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5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6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6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6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5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6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6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6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5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6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6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6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5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6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6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6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5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6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6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6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5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6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6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6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5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6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6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6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5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6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6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6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5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6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6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6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370" t="s">
        <v>3004</v>
      </c>
      <c r="D1" s="3371"/>
      <c r="E1" s="3371"/>
      <c r="F1" s="3371"/>
      <c r="G1" s="3371"/>
      <c r="H1" s="3371"/>
      <c r="I1" s="3371"/>
      <c r="J1" s="3371"/>
      <c r="K1" s="3371"/>
      <c r="L1" s="3371"/>
      <c r="M1" s="3371"/>
      <c r="N1" s="3371"/>
      <c r="O1" s="3371"/>
      <c r="P1" s="3371"/>
      <c r="Q1" s="3371"/>
      <c r="R1" s="3371"/>
      <c r="S1" s="3372"/>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3013</v>
      </c>
      <c r="B17" s="2918"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0" t="s">
        <v>3017</v>
      </c>
      <c r="E20" s="1796"/>
      <c r="F20" s="1207" t="e">
        <f ca="1">SUMIF(INDIRECT("'"&amp;H20&amp;"'"&amp;"!A:A"),"承租人权益价值",INDIRECT("'"&amp;H20&amp;"'"&amp;"!c:c"))</f>
        <v>#REF!</v>
      </c>
      <c r="G20" s="1207" t="s">
        <v>3018</v>
      </c>
      <c r="H20" s="2921"/>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220" t="s">
        <v>33</v>
      </c>
      <c r="D22" s="3221"/>
      <c r="E22" s="3221"/>
      <c r="F22" s="3221"/>
      <c r="G22" s="3221"/>
      <c r="H22" s="3221"/>
      <c r="I22" s="3221"/>
      <c r="J22" s="3221"/>
      <c r="K22" s="3221"/>
      <c r="L22" s="3221"/>
      <c r="M22" s="3221"/>
      <c r="N22" s="3221"/>
      <c r="O22" s="3221"/>
      <c r="P22" s="3221"/>
      <c r="Q22" s="3369"/>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42834</v>
      </c>
      <c r="C2" s="2" t="s">
        <v>133</v>
      </c>
      <c r="D2" s="243"/>
      <c r="E2" s="243"/>
      <c r="F2" s="243"/>
      <c r="G2" s="243"/>
    </row>
    <row r="3" spans="1:7" s="244" customFormat="1" ht="18" customHeight="1" thickBot="1">
      <c r="A3" s="247" t="s">
        <v>85</v>
      </c>
      <c r="B3" s="248">
        <f ca="1">ROUND(B2*10000/'数据-汇总表'!E3,0)</f>
        <v>9543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170</v>
      </c>
      <c r="F9" s="265"/>
      <c r="G9" s="270"/>
    </row>
    <row r="10" spans="1:7" s="258" customFormat="1" ht="13.5" customHeight="1">
      <c r="A10" s="953" t="s">
        <v>801</v>
      </c>
      <c r="B10" s="268" t="s">
        <v>94</v>
      </c>
      <c r="C10" s="269">
        <f>ROUND(D10*E10/10000,0)</f>
        <v>763</v>
      </c>
      <c r="D10" s="1035">
        <f>'数据-汇总表'!E6</f>
        <v>44886.34</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898</v>
      </c>
      <c r="D19" s="1039">
        <f>'数据-汇总表'!E3</f>
        <v>44886.34</v>
      </c>
      <c r="E19" s="255">
        <f>'数据-取费表'!B31</f>
        <v>200</v>
      </c>
      <c r="F19" s="275"/>
      <c r="G19" s="1" t="s">
        <v>1074</v>
      </c>
    </row>
    <row r="20" spans="1:7" s="258" customFormat="1" ht="13.5" customHeight="1">
      <c r="A20" s="951" t="s">
        <v>1057</v>
      </c>
      <c r="B20" s="254" t="s">
        <v>104</v>
      </c>
      <c r="C20" s="276">
        <f>ROUND((C5+C19)*F20,0)</f>
        <v>326</v>
      </c>
      <c r="D20" s="276"/>
      <c r="E20" s="276"/>
      <c r="F20" s="277">
        <f>'数据-取费表'!B37</f>
        <v>1.4999999999999999E-2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2126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2024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87</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2644</v>
      </c>
      <c r="D27" s="279">
        <f>C29</f>
        <v>2.3999999999999998E-3</v>
      </c>
      <c r="E27" s="280" t="s">
        <v>126</v>
      </c>
      <c r="F27" s="290">
        <f>'数据-取费表'!Q16</f>
        <v>0.15</v>
      </c>
      <c r="G27" s="291" t="s">
        <v>1069</v>
      </c>
    </row>
    <row r="28" spans="1:7" s="258" customFormat="1" ht="13.5" customHeight="1">
      <c r="A28" s="954" t="s">
        <v>794</v>
      </c>
      <c r="B28" s="292" t="s">
        <v>1062</v>
      </c>
      <c r="C28" s="293">
        <f>ROUND((C5+C19+C20)*F27*'数据-取费表'!B21/'数据-取费表'!B20,0)</f>
        <v>2644</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10478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9426</v>
      </c>
      <c r="D34" s="261"/>
      <c r="E34" s="264"/>
      <c r="F34" s="301">
        <f>IF('数据-取费表'!B24=0,1,'数据-取费表'!N16)</f>
        <v>0.7</v>
      </c>
      <c r="G34" s="263" t="s">
        <v>116</v>
      </c>
    </row>
    <row r="35" spans="1:7" ht="13.5" customHeight="1">
      <c r="A35" s="954" t="s">
        <v>796</v>
      </c>
      <c r="B35" s="259" t="s">
        <v>60</v>
      </c>
      <c r="C35" s="264">
        <f>ROUND(C34*F35,0)</f>
        <v>283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628</v>
      </c>
      <c r="D37" s="261">
        <f>'数据-汇总表'!E3</f>
        <v>44886.34</v>
      </c>
      <c r="E37" s="293">
        <f>'数据-取费表'!B35</f>
        <v>200</v>
      </c>
      <c r="F37" s="303"/>
      <c r="G37" s="305" t="s">
        <v>119</v>
      </c>
    </row>
    <row r="38" spans="1:7" ht="13.5" customHeight="1">
      <c r="A38" s="954" t="s">
        <v>799</v>
      </c>
      <c r="B38" s="259" t="s">
        <v>63</v>
      </c>
      <c r="C38" s="264">
        <f>ROUND(C34*F38,0)</f>
        <v>141</v>
      </c>
      <c r="D38" s="264"/>
      <c r="E38" s="264"/>
      <c r="F38" s="303">
        <f>'数据-取费表'!B36</f>
        <v>1.4999999999999999E-2</v>
      </c>
      <c r="G38" s="263" t="s">
        <v>117</v>
      </c>
    </row>
    <row r="39" spans="1:7" s="258" customFormat="1" ht="13.5" customHeight="1">
      <c r="A39" s="951" t="s">
        <v>783</v>
      </c>
      <c r="B39" s="254" t="s">
        <v>104</v>
      </c>
      <c r="C39" s="276">
        <f>ROUND(C33*F20,0)</f>
        <v>157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505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498</v>
      </c>
      <c r="D42" s="282"/>
      <c r="E42" s="282"/>
      <c r="F42" s="283"/>
      <c r="G42" s="3228" t="s">
        <v>121</v>
      </c>
    </row>
    <row r="43" spans="1:7" ht="13.5" customHeight="1">
      <c r="A43" s="954" t="s">
        <v>792</v>
      </c>
      <c r="B43" s="259" t="s">
        <v>1064</v>
      </c>
      <c r="C43" s="282">
        <f ca="1">ROUND(IF('数据-取费表'!B22&lt;=1,C39*F22*'数据-取费表'!B21/2,C39*(POWER((1+F22),'数据-取费表'!B21/2)-1)),0)</f>
        <v>7</v>
      </c>
      <c r="D43" s="282"/>
      <c r="E43" s="282"/>
      <c r="F43" s="283"/>
      <c r="G43" s="3229"/>
    </row>
    <row r="44" spans="1:7" ht="13.5" customHeight="1">
      <c r="A44" s="954" t="s">
        <v>793</v>
      </c>
      <c r="B44" s="259" t="s">
        <v>1066</v>
      </c>
      <c r="C44" s="282">
        <f ca="1">ROUND(IF('数据-取费表'!B22&lt;=1,C40*F22*'数据-取费表'!B21/2,C40*(POWER((1+F22),'数据-取费表'!B21/2)-1)),4)</f>
        <v>1E-3</v>
      </c>
      <c r="D44" s="282"/>
      <c r="E44" s="282"/>
      <c r="F44" s="283"/>
      <c r="G44" s="3230"/>
    </row>
    <row r="45" spans="1:7" s="258" customFormat="1" ht="13.5" customHeight="1">
      <c r="A45" s="951" t="s">
        <v>786</v>
      </c>
      <c r="B45" s="288" t="s">
        <v>112</v>
      </c>
      <c r="C45" s="289">
        <f>C46</f>
        <v>1595</v>
      </c>
      <c r="D45" s="279">
        <f>C47</f>
        <v>3.0000000000000001E-3</v>
      </c>
      <c r="E45" s="280" t="s">
        <v>129</v>
      </c>
      <c r="F45" s="290"/>
      <c r="G45" s="291" t="s">
        <v>1072</v>
      </c>
    </row>
    <row r="46" spans="1:7" s="258" customFormat="1" ht="13.5" customHeight="1">
      <c r="A46" s="954" t="s">
        <v>794</v>
      </c>
      <c r="B46" s="292" t="s">
        <v>1065</v>
      </c>
      <c r="C46" s="293">
        <f>ROUND((C33+C39)*F27,0)</f>
        <v>1595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13802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13802</v>
      </c>
      <c r="D51" s="276"/>
      <c r="E51" s="276"/>
      <c r="F51" s="308"/>
      <c r="G51" s="278" t="s">
        <v>64</v>
      </c>
    </row>
    <row r="52" spans="1:7" s="252" customFormat="1" ht="16.5" thickBot="1">
      <c r="A52" s="309" t="s">
        <v>65</v>
      </c>
      <c r="B52" s="310"/>
      <c r="C52" s="311">
        <f ca="1">C31+C51</f>
        <v>42834</v>
      </c>
      <c r="D52" s="310"/>
      <c r="E52" s="310"/>
      <c r="F52" s="310"/>
      <c r="G52" s="312"/>
    </row>
    <row r="55" spans="1:7" ht="15">
      <c r="B55" s="314" t="s">
        <v>66</v>
      </c>
      <c r="C55" s="315"/>
    </row>
    <row r="56" spans="1:7">
      <c r="B56" s="317" t="s">
        <v>67</v>
      </c>
      <c r="C56" s="318">
        <f ca="1">ROUND(C51/C52,3)</f>
        <v>0.32200000000000001</v>
      </c>
    </row>
    <row r="57" spans="1:7">
      <c r="B57" s="317" t="s">
        <v>68</v>
      </c>
      <c r="C57" s="319">
        <f ca="1">1-C56</f>
        <v>0.67799999999999994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73" t="s">
        <v>156</v>
      </c>
      <c r="B1" s="3373"/>
      <c r="C1" s="3373"/>
      <c r="D1" s="3373"/>
      <c r="E1" s="3373"/>
      <c r="F1" s="33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4" t="s">
        <v>169</v>
      </c>
      <c r="B2" s="3374"/>
      <c r="C2" s="3374"/>
      <c r="D2" s="3374"/>
      <c r="E2" s="3374"/>
      <c r="F2" s="33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3" t="s">
        <v>871</v>
      </c>
      <c r="B1" s="337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43248</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1641</v>
      </c>
      <c r="B2" s="3045" t="s">
        <v>1642</v>
      </c>
      <c r="C2" s="3045" t="s">
        <v>1643</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39"/>
      <c r="B3" s="3039"/>
      <c r="C3" s="3039"/>
      <c r="D3" s="1047" t="s">
        <v>1638</v>
      </c>
      <c r="E3" s="1047" t="s">
        <v>1644</v>
      </c>
      <c r="F3" s="1047" t="s">
        <v>1638</v>
      </c>
      <c r="G3" s="1047" t="s">
        <v>1639</v>
      </c>
      <c r="H3" s="1047" t="s">
        <v>1638</v>
      </c>
      <c r="I3" s="1047" t="s">
        <v>1639</v>
      </c>
    </row>
    <row r="4" spans="1:9" ht="45">
      <c r="A4" s="1976" t="str">
        <f>项目基本情况!S2</f>
        <v>河南省郑州市金水区红旗路北、经七路东出让国有建设用地使用权及在建建筑物房地产</v>
      </c>
      <c r="B4" s="1047">
        <f>项目基本情况!C17</f>
        <v>44886.34</v>
      </c>
      <c r="C4" s="1047">
        <f>项目基本情况!C18</f>
        <v>7681.84</v>
      </c>
      <c r="D4" s="1047">
        <f ca="1">结果表!D118</f>
        <v>43670</v>
      </c>
      <c r="E4" s="1047">
        <f ca="1">结果表!E118</f>
        <v>9729</v>
      </c>
      <c r="F4" s="1047">
        <f ca="1">结果表!F118</f>
        <v>14402</v>
      </c>
      <c r="G4" s="1047">
        <f ca="1">结果表!G118</f>
        <v>3209</v>
      </c>
      <c r="H4" s="1047">
        <f ca="1">结果表!H118</f>
        <v>58072</v>
      </c>
      <c r="I4" s="1047">
        <f ca="1">结果表!I118</f>
        <v>12938</v>
      </c>
    </row>
    <row r="5" spans="1:9" ht="30" customHeight="1">
      <c r="A5" s="3039" t="s">
        <v>1640</v>
      </c>
      <c r="B5" s="3039"/>
      <c r="C5" s="3039"/>
      <c r="D5" s="3040" t="str">
        <f ca="1">结果表!D119</f>
        <v>肆亿叁仟陆佰柒拾万元整</v>
      </c>
      <c r="E5" s="3040"/>
      <c r="F5" s="3040" t="str">
        <f ca="1">结果表!F119</f>
        <v>壹亿肆仟肆佰零贰万元整</v>
      </c>
      <c r="G5" s="3040"/>
      <c r="H5" s="3040" t="str">
        <f ca="1">结果表!H119</f>
        <v>伍亿捌仟零柒拾贰万元整</v>
      </c>
      <c r="I5" s="3040"/>
    </row>
    <row r="6" spans="1:9" ht="15.75">
      <c r="A6" s="3038" t="str">
        <f>结果表!A120</f>
        <v>估价师知悉的法定优先受偿款</v>
      </c>
      <c r="B6" s="3038"/>
      <c r="C6" s="3038"/>
      <c r="D6" s="3038">
        <f>结果表!D120</f>
        <v>3803</v>
      </c>
      <c r="E6" s="3038"/>
      <c r="F6" s="3038"/>
      <c r="G6" s="3038"/>
      <c r="H6" s="3038"/>
      <c r="I6" s="3038"/>
    </row>
    <row r="7" spans="1:9" ht="15">
      <c r="A7" s="3039" t="s">
        <v>1640</v>
      </c>
      <c r="B7" s="3039"/>
      <c r="C7" s="3039"/>
      <c r="D7" s="3041" t="str">
        <f>结果表!D121</f>
        <v>叁仟捌佰零叁万元整</v>
      </c>
      <c r="E7" s="3042"/>
      <c r="F7" s="3042"/>
      <c r="G7" s="3042"/>
      <c r="H7" s="3042"/>
      <c r="I7" s="3043"/>
    </row>
    <row r="8" spans="1:9" ht="15.75">
      <c r="A8" s="3038" t="str">
        <f>结果表!A122</f>
        <v/>
      </c>
      <c r="B8" s="3038"/>
      <c r="C8" s="3038"/>
      <c r="D8" s="3038" t="str">
        <f>结果表!D122</f>
        <v>——</v>
      </c>
      <c r="E8" s="3038"/>
      <c r="F8" s="3038"/>
      <c r="G8" s="3038"/>
      <c r="H8" s="3038"/>
      <c r="I8" s="3038"/>
    </row>
    <row r="9" spans="1:9" ht="15">
      <c r="A9" s="3039" t="s">
        <v>1640</v>
      </c>
      <c r="B9" s="3039"/>
      <c r="C9" s="3039"/>
      <c r="D9" s="3040" t="e">
        <f>结果表!D123</f>
        <v>#VALUE!</v>
      </c>
      <c r="E9" s="3040"/>
      <c r="F9" s="3040"/>
      <c r="G9" s="3040"/>
      <c r="H9" s="3040"/>
      <c r="I9" s="3040"/>
    </row>
    <row r="10" spans="1:9" ht="15.75">
      <c r="A10" s="3038" t="str">
        <f>结果表!A124</f>
        <v>抵押担保权已注销时的房地产抵押价值</v>
      </c>
      <c r="B10" s="3038"/>
      <c r="C10" s="3038"/>
      <c r="D10" s="3038">
        <f ca="1">结果表!D124</f>
        <v>54269</v>
      </c>
      <c r="E10" s="3038"/>
      <c r="F10" s="3038"/>
      <c r="G10" s="3038"/>
      <c r="H10" s="3038"/>
      <c r="I10" s="3038"/>
    </row>
    <row r="11" spans="1:9" ht="15">
      <c r="A11" s="3039" t="s">
        <v>1640</v>
      </c>
      <c r="B11" s="3039"/>
      <c r="C11" s="3039"/>
      <c r="D11" s="3040" t="str">
        <f ca="1">结果表!D125</f>
        <v>伍亿肆仟贰佰陆拾玖万元整</v>
      </c>
      <c r="E11" s="3040"/>
      <c r="F11" s="3040"/>
      <c r="G11" s="3040"/>
      <c r="H11" s="3040"/>
      <c r="I11" s="3040"/>
    </row>
    <row r="12" spans="1:9" ht="15.75">
      <c r="A12" s="3038" t="str">
        <f>结果表!A126</f>
        <v/>
      </c>
      <c r="B12" s="3038"/>
      <c r="C12" s="3038"/>
      <c r="D12" s="3038" t="str">
        <f>结果表!D126</f>
        <v>——</v>
      </c>
      <c r="E12" s="3038"/>
      <c r="F12" s="3038"/>
      <c r="G12" s="3038"/>
      <c r="H12" s="3038"/>
      <c r="I12" s="3038"/>
    </row>
    <row r="13" spans="1:9" ht="15.75" thickBot="1">
      <c r="A13" s="3035" t="s">
        <v>1640</v>
      </c>
      <c r="B13" s="3035"/>
      <c r="C13" s="3035"/>
      <c r="D13" s="3036" t="e">
        <f>结果表!D127</f>
        <v>#VALUE!</v>
      </c>
      <c r="E13" s="3036"/>
      <c r="F13" s="3036"/>
      <c r="G13" s="3036"/>
      <c r="H13" s="3036"/>
      <c r="I13" s="3036"/>
    </row>
    <row r="14" spans="1:9" ht="15" thickTop="1">
      <c r="A14" s="3037" t="s">
        <v>1645</v>
      </c>
      <c r="B14" s="3037"/>
      <c r="C14" s="3037"/>
      <c r="D14" s="3037"/>
      <c r="E14" s="3037"/>
      <c r="F14" s="3037"/>
      <c r="G14" s="3037"/>
      <c r="H14" s="3037"/>
      <c r="I14" s="303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2" t="s">
        <v>1662</v>
      </c>
      <c r="B1" s="3052"/>
      <c r="C1" s="3052"/>
      <c r="D1" s="3052"/>
    </row>
    <row r="2" spans="1:4" ht="18">
      <c r="A2" s="3053" t="s">
        <v>1646</v>
      </c>
      <c r="B2" s="3053"/>
      <c r="C2" s="3053"/>
      <c r="D2" s="3053"/>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53" t="s">
        <v>1652</v>
      </c>
      <c r="B6" s="3053"/>
      <c r="C6" s="3053"/>
      <c r="D6" s="305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4" t="s">
        <v>1655</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46" t="str">
        <f>IF(项目基本情况!B8="抵押","4.本次评估估价师所知悉的法定优先受偿款情况说明如下：","——")</f>
        <v>4.本次评估估价师所知悉的法定优先受偿款情况说明如下：</v>
      </c>
      <c r="B14" s="3051"/>
      <c r="C14" s="3051"/>
      <c r="D14" s="3051"/>
    </row>
    <row r="15" spans="1:4" ht="42" customHeight="1">
      <c r="A15" s="3046"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6"/>
      <c r="C15" s="3046"/>
      <c r="D15" s="3046"/>
    </row>
    <row r="16" spans="1:4" ht="30" customHeight="1">
      <c r="A16" s="3048" t="s">
        <v>1656</v>
      </c>
      <c r="B16" s="3048"/>
      <c r="C16" s="3048"/>
      <c r="D16" s="3048"/>
    </row>
    <row r="17" spans="1:4" ht="144" customHeight="1">
      <c r="A17" s="3048" t="s">
        <v>1657</v>
      </c>
      <c r="B17" s="3048"/>
      <c r="C17" s="3048"/>
      <c r="D17" s="3048"/>
    </row>
    <row r="18" spans="1:4" ht="15.75" customHeight="1">
      <c r="A18" s="3046" t="str">
        <f>IF(项目基本情况!B8="抵押",结果表!K120,"——")</f>
        <v>故，本次评估估价师知悉的法定优先受偿款为人民币3803万元整。</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6"/>
      <c r="C20" s="3046"/>
      <c r="D20" s="3046"/>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1658</v>
      </c>
      <c r="B22" s="3050"/>
      <c r="C22" s="3050"/>
      <c r="D22" s="305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0" t="s">
        <v>1669</v>
      </c>
      <c r="B15" s="3055" t="s">
        <v>136</v>
      </c>
      <c r="C15" s="3056"/>
    </row>
    <row r="16" spans="1:7" ht="13.5">
      <c r="A16" s="3061"/>
      <c r="B16" s="3055" t="s">
        <v>69</v>
      </c>
      <c r="C16" s="3056"/>
    </row>
    <row r="17" spans="1:3" ht="13.5">
      <c r="A17" s="3061"/>
      <c r="B17" s="3058" t="s">
        <v>1670</v>
      </c>
      <c r="C17" s="2003" t="s">
        <v>1669</v>
      </c>
    </row>
    <row r="18" spans="1:3" ht="13.5">
      <c r="A18" s="3061"/>
      <c r="B18" s="3058"/>
      <c r="C18" s="2003" t="s">
        <v>1671</v>
      </c>
    </row>
    <row r="19" spans="1:3" ht="13.5">
      <c r="A19" s="3061"/>
      <c r="B19" s="3058"/>
      <c r="C19" s="2003" t="s">
        <v>1672</v>
      </c>
    </row>
    <row r="20" spans="1:3" ht="13.5">
      <c r="A20" s="3062"/>
      <c r="B20" s="3057" t="s">
        <v>1673</v>
      </c>
      <c r="C20" s="3056"/>
    </row>
    <row r="21" spans="1:3" ht="13.5">
      <c r="A21" s="2004" t="s">
        <v>1674</v>
      </c>
      <c r="B21" s="2005"/>
      <c r="C21" s="2006"/>
    </row>
    <row r="22" spans="1:3" ht="13.5">
      <c r="A22" s="3059" t="s">
        <v>1675</v>
      </c>
      <c r="B22" s="3057" t="s">
        <v>1676</v>
      </c>
      <c r="C22" s="3056"/>
    </row>
    <row r="23" spans="1:3" ht="13.5">
      <c r="A23" s="3059"/>
      <c r="B23" s="3057" t="s">
        <v>1677</v>
      </c>
      <c r="C23" s="3056"/>
    </row>
    <row r="24" spans="1:3" ht="13.5">
      <c r="A24" s="3059"/>
      <c r="B24" s="3057" t="s">
        <v>1678</v>
      </c>
      <c r="C24" s="3056"/>
    </row>
    <row r="25" spans="1:3" ht="13.5">
      <c r="A25" s="3059"/>
      <c r="B25" s="3058" t="s">
        <v>1679</v>
      </c>
      <c r="C25" s="2003" t="s">
        <v>1680</v>
      </c>
    </row>
    <row r="26" spans="1:3" ht="13.5">
      <c r="A26" s="3059"/>
      <c r="B26" s="3058"/>
      <c r="C26" s="2003" t="s">
        <v>1681</v>
      </c>
    </row>
    <row r="27" spans="1:3" ht="13.5">
      <c r="A27" s="3059"/>
      <c r="B27" s="3058"/>
      <c r="C27" s="2003" t="s">
        <v>1682</v>
      </c>
    </row>
    <row r="28" spans="1:3" ht="13.5">
      <c r="A28" s="3059"/>
      <c r="B28" s="3058"/>
      <c r="C28" s="2003" t="s">
        <v>1683</v>
      </c>
    </row>
    <row r="29" spans="1:3" ht="13.5">
      <c r="A29" s="3059"/>
      <c r="B29" s="3058"/>
      <c r="C29" s="2003" t="s">
        <v>1684</v>
      </c>
    </row>
    <row r="30" spans="1:3" ht="13.5">
      <c r="A30" s="3059"/>
      <c r="B30" s="3058"/>
      <c r="C30" s="2003" t="s">
        <v>1685</v>
      </c>
    </row>
    <row r="31" spans="1:3" ht="13.5">
      <c r="A31" s="3059"/>
      <c r="B31" s="3058"/>
      <c r="C31" s="2003" t="s">
        <v>1686</v>
      </c>
    </row>
    <row r="32" spans="1:3" ht="13.5">
      <c r="A32" s="3059"/>
      <c r="B32" s="3058"/>
      <c r="C32" s="2003" t="s">
        <v>1687</v>
      </c>
    </row>
    <row r="33" spans="1:3" ht="13.5">
      <c r="A33" s="3059"/>
      <c r="B33" s="305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43271</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43359</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t="s">
        <v>3043</v>
      </c>
      <c r="B12" s="1025">
        <v>1120110054</v>
      </c>
      <c r="C12" s="2942">
        <v>43937</v>
      </c>
      <c r="D12" s="1705" t="s">
        <v>3043</v>
      </c>
      <c r="E12" s="1025">
        <v>2008110060</v>
      </c>
      <c r="F12" s="1033">
        <v>47177</v>
      </c>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346">
        <v>43304</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63" t="s">
        <v>846</v>
      </c>
      <c r="B25" s="3063"/>
      <c r="C25" s="3063"/>
      <c r="D25" s="3063"/>
      <c r="E25" s="3063"/>
      <c r="F25" s="3063"/>
      <c r="G25" s="3063"/>
    </row>
    <row r="26" spans="1:7" s="1028" customFormat="1" ht="24" customHeight="1">
      <c r="A26" s="3064" t="s">
        <v>847</v>
      </c>
      <c r="B26" s="3064"/>
      <c r="C26" s="3065"/>
      <c r="D26" s="3066" t="s">
        <v>848</v>
      </c>
      <c r="E26" s="3064"/>
      <c r="F26" s="3064"/>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抵押物范围</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比较法-公寓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2018-06-20T09:34:17Z</dcterms:modified>
</cp:coreProperties>
</file>