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1055北京市朝阳区北苑路18号院地下车库-1层042、043\"/>
    </mc:Choice>
  </mc:AlternateContent>
  <bookViews>
    <workbookView xWindow="0" yWindow="0" windowWidth="25296" windowHeight="13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住宅" sheetId="21" state="hidden" r:id="rId21"/>
    <sheet name="成本法 (元)" sheetId="69" r:id="rId22"/>
    <sheet name="假设开发法" sheetId="12" state="hidden" r:id="rId23"/>
    <sheet name="收益法" sheetId="15" state="hidden" r:id="rId24"/>
    <sheet name="收益法 (元)" sheetId="67" r:id="rId25"/>
    <sheet name="Sheet1" sheetId="86"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C6" i="69" l="1"/>
  <c r="D42" i="43"/>
  <c r="G44" i="43"/>
  <c r="N18" i="1"/>
  <c r="B3" i="4"/>
  <c r="O59" i="21" l="1"/>
  <c r="M59" i="21"/>
  <c r="L59" i="21"/>
  <c r="J59" i="21"/>
  <c r="I59" i="21"/>
  <c r="G59" i="21"/>
  <c r="F59" i="21"/>
  <c r="D33" i="43" l="1"/>
  <c r="I27" i="21"/>
  <c r="G27" i="21"/>
  <c r="E37" i="21"/>
  <c r="I37" i="21"/>
  <c r="G37" i="21"/>
  <c r="C33" i="21"/>
  <c r="E27" i="21"/>
  <c r="C27" i="21"/>
  <c r="Y6" i="1" l="1"/>
  <c r="F19" i="6"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H1" i="69"/>
  <c r="U25" i="40"/>
  <c r="W18" i="36"/>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A493" i="3" s="1"/>
  <c r="BE493" i="3"/>
  <c r="BF493" i="3"/>
  <c r="BG493" i="3"/>
  <c r="BH493" i="3"/>
  <c r="BI493" i="3"/>
  <c r="BJ493" i="3"/>
  <c r="BK493" i="3"/>
  <c r="BM493" i="3"/>
  <c r="BL493" i="3" s="1"/>
  <c r="AZ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F5" i="3" s="1"/>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L514" i="3" s="1"/>
  <c r="AZ514" i="3" s="1"/>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A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F14" i="39" s="1"/>
  <c r="B83" i="39"/>
  <c r="H13" i="39" s="1"/>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F25" i="35" s="1"/>
  <c r="S25" i="35" s="1"/>
  <c r="B75" i="35"/>
  <c r="B73" i="35"/>
  <c r="F23" i="35" s="1"/>
  <c r="AA23" i="35" s="1"/>
  <c r="B57" i="35"/>
  <c r="B61" i="35"/>
  <c r="F13" i="35" s="1"/>
  <c r="B59" i="35"/>
  <c r="B131" i="34"/>
  <c r="B129" i="34"/>
  <c r="B127" i="34"/>
  <c r="F45" i="34" s="1"/>
  <c r="S45" i="34" s="1"/>
  <c r="B99" i="34"/>
  <c r="F32" i="34" s="1"/>
  <c r="S32" i="34" s="1"/>
  <c r="B97" i="34"/>
  <c r="B95" i="34"/>
  <c r="B93" i="34"/>
  <c r="F29" i="34" s="1"/>
  <c r="S29" i="34" s="1"/>
  <c r="B75" i="34"/>
  <c r="H14" i="34" s="1"/>
  <c r="U14" i="34" s="1"/>
  <c r="B73" i="34"/>
  <c r="J13" i="34" s="1"/>
  <c r="W13" i="34" s="1"/>
  <c r="B71" i="34"/>
  <c r="H12" i="34" s="1"/>
  <c r="B130" i="33"/>
  <c r="H46" i="33" s="1"/>
  <c r="B128" i="33"/>
  <c r="J45" i="33" s="1"/>
  <c r="B126" i="33"/>
  <c r="J44" i="33" s="1"/>
  <c r="AC44" i="33" s="1"/>
  <c r="B98" i="33"/>
  <c r="B96" i="33"/>
  <c r="H30" i="33" s="1"/>
  <c r="AB30" i="33" s="1"/>
  <c r="B94" i="33"/>
  <c r="J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E85" i="21" s="1"/>
  <c r="F85" i="21" s="1"/>
  <c r="G85" i="21" s="1"/>
  <c r="F19" i="21"/>
  <c r="AA19" i="21" s="1"/>
  <c r="E81" i="21"/>
  <c r="F81" i="21"/>
  <c r="G81" i="21" s="1"/>
  <c r="D77" i="21"/>
  <c r="E77" i="21" s="1"/>
  <c r="F77" i="21" s="1"/>
  <c r="G77" i="21" s="1"/>
  <c r="B130" i="21"/>
  <c r="B128" i="21"/>
  <c r="J45" i="21" s="1"/>
  <c r="W45" i="21" s="1"/>
  <c r="B126" i="21"/>
  <c r="J44" i="21" s="1"/>
  <c r="B98" i="21"/>
  <c r="B96" i="21"/>
  <c r="F30" i="21" s="1"/>
  <c r="S30" i="21" s="1"/>
  <c r="B94" i="21"/>
  <c r="J29" i="21" s="1"/>
  <c r="AC29" i="21"/>
  <c r="B92" i="21"/>
  <c r="J28" i="21" s="1"/>
  <c r="B90" i="21"/>
  <c r="J27" i="21" s="1"/>
  <c r="W27" i="21" s="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44" i="39"/>
  <c r="W31" i="37"/>
  <c r="F29" i="36"/>
  <c r="AA29" i="36" s="1"/>
  <c r="F16" i="36"/>
  <c r="AA16" i="36" s="1"/>
  <c r="W28" i="36"/>
  <c r="J33" i="36"/>
  <c r="AC33" i="36" s="1"/>
  <c r="H22" i="35"/>
  <c r="AB22" i="35" s="1"/>
  <c r="F36" i="34"/>
  <c r="J35" i="34"/>
  <c r="H39" i="33"/>
  <c r="AB39" i="33" s="1"/>
  <c r="F26" i="33"/>
  <c r="AA26" i="33" s="1"/>
  <c r="F11" i="40"/>
  <c r="AA11" i="40" s="1"/>
  <c r="H11" i="40"/>
  <c r="AB11" i="40" s="1"/>
  <c r="S34" i="40"/>
  <c r="F42" i="39"/>
  <c r="AA42" i="39" s="1"/>
  <c r="F41" i="39"/>
  <c r="S41" i="39" s="1"/>
  <c r="H40" i="39"/>
  <c r="H39" i="39"/>
  <c r="U39" i="39" s="1"/>
  <c r="H34" i="39"/>
  <c r="U34"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s="1"/>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4" i="34"/>
  <c r="AC44" i="34" s="1"/>
  <c r="F44" i="34"/>
  <c r="AA44" i="34" s="1"/>
  <c r="J10" i="35"/>
  <c r="AC10" i="35" s="1"/>
  <c r="J14" i="21"/>
  <c r="W14" i="21" s="1"/>
  <c r="H14" i="21"/>
  <c r="U14" i="21" s="1"/>
  <c r="H28" i="21"/>
  <c r="AB28" i="21" s="1"/>
  <c r="H44" i="21"/>
  <c r="U44" i="21" s="1"/>
  <c r="F44" i="21"/>
  <c r="AA44" i="21" s="1"/>
  <c r="H46" i="21"/>
  <c r="U46" i="21" s="1"/>
  <c r="F33" i="35"/>
  <c r="S33" i="35" s="1"/>
  <c r="J33" i="35"/>
  <c r="AC33" i="35" s="1"/>
  <c r="F30" i="35"/>
  <c r="S30" i="35" s="1"/>
  <c r="H10" i="36"/>
  <c r="AB10" i="36" s="1"/>
  <c r="J14" i="36"/>
  <c r="H14" i="36"/>
  <c r="U14" i="36" s="1"/>
  <c r="F28" i="36"/>
  <c r="AA28" i="36" s="1"/>
  <c r="H29" i="21"/>
  <c r="U29" i="21" s="1"/>
  <c r="J31" i="21"/>
  <c r="AC31" i="21" s="1"/>
  <c r="J13" i="33"/>
  <c r="H29" i="33"/>
  <c r="U29" i="33" s="1"/>
  <c r="F29" i="33"/>
  <c r="S29" i="33" s="1"/>
  <c r="H45" i="33"/>
  <c r="U45" i="33" s="1"/>
  <c r="F45" i="33"/>
  <c r="AA45" i="33" s="1"/>
  <c r="J14" i="34"/>
  <c r="W14" i="34" s="1"/>
  <c r="F14" i="34"/>
  <c r="S14" i="34" s="1"/>
  <c r="H32" i="34"/>
  <c r="AB32" i="34" s="1"/>
  <c r="J32" i="34"/>
  <c r="W32" i="34" s="1"/>
  <c r="J11" i="35"/>
  <c r="J26" i="36"/>
  <c r="W26" i="36" s="1"/>
  <c r="H28" i="36"/>
  <c r="U28" i="36" s="1"/>
  <c r="H32" i="36"/>
  <c r="AB32" i="36" s="1"/>
  <c r="J11" i="36"/>
  <c r="AC11" i="36" s="1"/>
  <c r="H11" i="36"/>
  <c r="U11" i="36" s="1"/>
  <c r="F11" i="36"/>
  <c r="AA11" i="36" s="1"/>
  <c r="J13" i="36"/>
  <c r="F13" i="36"/>
  <c r="S13" i="36" s="1"/>
  <c r="J29" i="37"/>
  <c r="W29" i="37" s="1"/>
  <c r="F29" i="37"/>
  <c r="S29" i="37" s="1"/>
  <c r="H36" i="37"/>
  <c r="AB36" i="37" s="1"/>
  <c r="J37" i="37"/>
  <c r="AC37" i="37" s="1"/>
  <c r="H37" i="37"/>
  <c r="U37" i="37" s="1"/>
  <c r="H40" i="37"/>
  <c r="U40" i="37" s="1"/>
  <c r="F14" i="33"/>
  <c r="S14" i="33"/>
  <c r="J14" i="33"/>
  <c r="AC14" i="33" s="1"/>
  <c r="F30" i="33"/>
  <c r="AA30" i="33" s="1"/>
  <c r="J30" i="33"/>
  <c r="H44" i="33"/>
  <c r="F44" i="33"/>
  <c r="S44" i="33" s="1"/>
  <c r="J46" i="33"/>
  <c r="AC46" i="33" s="1"/>
  <c r="F46" i="33"/>
  <c r="AA46" i="33" s="1"/>
  <c r="H13" i="34"/>
  <c r="U13" i="34" s="1"/>
  <c r="F13" i="34"/>
  <c r="AA13" i="34" s="1"/>
  <c r="J29" i="34"/>
  <c r="H29" i="34"/>
  <c r="AB29" i="34" s="1"/>
  <c r="J31" i="34"/>
  <c r="W31" i="34" s="1"/>
  <c r="AC31" i="34"/>
  <c r="H45" i="34"/>
  <c r="U45" i="34" s="1"/>
  <c r="J45" i="34"/>
  <c r="W45" i="34"/>
  <c r="H47" i="34"/>
  <c r="U47" i="34" s="1"/>
  <c r="F47" i="34"/>
  <c r="S47" i="34" s="1"/>
  <c r="J47" i="34"/>
  <c r="J13" i="35"/>
  <c r="AC13" i="35" s="1"/>
  <c r="H13" i="35"/>
  <c r="J25" i="35"/>
  <c r="W25" i="35" s="1"/>
  <c r="H25" i="35"/>
  <c r="U25" i="35" s="1"/>
  <c r="J35" i="35"/>
  <c r="AC35" i="35" s="1"/>
  <c r="F13" i="37"/>
  <c r="AA13" i="37" s="1"/>
  <c r="H28" i="37"/>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J13" i="39"/>
  <c r="J14" i="37"/>
  <c r="AA14" i="33"/>
  <c r="J36" i="37"/>
  <c r="AC36" i="37" s="1"/>
  <c r="J10" i="36"/>
  <c r="AC10" i="36" s="1"/>
  <c r="S45" i="33"/>
  <c r="F15" i="21"/>
  <c r="S15" i="21" s="1"/>
  <c r="J41" i="39"/>
  <c r="W41" i="39" s="1"/>
  <c r="U36" i="39"/>
  <c r="G540" i="3"/>
  <c r="G536" i="3"/>
  <c r="G527" i="3"/>
  <c r="G514" i="3"/>
  <c r="G510" i="3"/>
  <c r="G504" i="3"/>
  <c r="G496" i="3"/>
  <c r="G580" i="3"/>
  <c r="G572" i="3"/>
  <c r="G550" i="3"/>
  <c r="BL580" i="3"/>
  <c r="BL534" i="3"/>
  <c r="BL502" i="3"/>
  <c r="BL540" i="3"/>
  <c r="G533" i="3"/>
  <c r="BL518" i="3"/>
  <c r="G493" i="3"/>
  <c r="BA554" i="3"/>
  <c r="BA536" i="3"/>
  <c r="BA524" i="3"/>
  <c r="BA510" i="3"/>
  <c r="BA494" i="3"/>
  <c r="BA555" i="3"/>
  <c r="BA539" i="3"/>
  <c r="BA523" i="3"/>
  <c r="BA511" i="3"/>
  <c r="BA497" i="3"/>
  <c r="G581" i="3"/>
  <c r="G579" i="3"/>
  <c r="G573" i="3"/>
  <c r="G571" i="3"/>
  <c r="G565" i="3"/>
  <c r="AC557" i="3"/>
  <c r="BQ557" i="3"/>
  <c r="BL557" i="3" s="1"/>
  <c r="BQ583" i="3"/>
  <c r="BQ581" i="3"/>
  <c r="BQ579" i="3"/>
  <c r="BQ577" i="3"/>
  <c r="BQ575" i="3"/>
  <c r="BQ573" i="3"/>
  <c r="BQ571" i="3"/>
  <c r="BQ569" i="3"/>
  <c r="BQ567" i="3"/>
  <c r="BQ565" i="3"/>
  <c r="BQ563" i="3"/>
  <c r="BQ561" i="3"/>
  <c r="BL561" i="3" s="1"/>
  <c r="BQ559" i="3"/>
  <c r="G549" i="3"/>
  <c r="G543" i="3"/>
  <c r="G541" i="3"/>
  <c r="G537" i="3"/>
  <c r="BQ555" i="3"/>
  <c r="BQ553" i="3"/>
  <c r="BQ551" i="3"/>
  <c r="BQ549" i="3"/>
  <c r="BQ547" i="3"/>
  <c r="BQ545" i="3"/>
  <c r="BQ543" i="3"/>
  <c r="BQ541" i="3"/>
  <c r="BL541" i="3" s="1"/>
  <c r="BQ539" i="3"/>
  <c r="BQ537" i="3"/>
  <c r="BQ535" i="3"/>
  <c r="BQ533" i="3"/>
  <c r="BQ531" i="3"/>
  <c r="BQ529" i="3"/>
  <c r="BQ527" i="3"/>
  <c r="BQ525" i="3"/>
  <c r="BQ523" i="3"/>
  <c r="AC521" i="3"/>
  <c r="BQ521" i="3"/>
  <c r="G519" i="3"/>
  <c r="G513" i="3"/>
  <c r="G511" i="3"/>
  <c r="BQ519" i="3"/>
  <c r="BQ517" i="3"/>
  <c r="BQ515" i="3"/>
  <c r="BL515" i="3" s="1"/>
  <c r="BQ513" i="3"/>
  <c r="BQ511" i="3"/>
  <c r="AC509" i="3"/>
  <c r="G509" i="3" s="1"/>
  <c r="BQ509" i="3"/>
  <c r="G507" i="3"/>
  <c r="G505" i="3"/>
  <c r="G503"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26" i="37"/>
  <c r="W44" i="33"/>
  <c r="U19" i="21"/>
  <c r="F43" i="33"/>
  <c r="AA43" i="33" s="1"/>
  <c r="W16" i="35"/>
  <c r="H19" i="34"/>
  <c r="AB19" i="34"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38" i="3"/>
  <c r="G520" i="3"/>
  <c r="BP5" i="3"/>
  <c r="G17" i="3"/>
  <c r="BA17" i="3"/>
  <c r="BA15" i="3"/>
  <c r="BB5" i="3"/>
  <c r="E5" i="6" s="1"/>
  <c r="F83" i="43"/>
  <c r="H85" i="43" s="1"/>
  <c r="F50" i="43"/>
  <c r="H54" i="43" s="1"/>
  <c r="F72" i="43"/>
  <c r="H75" i="43" s="1"/>
  <c r="U17" i="39"/>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s="1"/>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AC36" i="40"/>
  <c r="AA32" i="40"/>
  <c r="S23" i="40"/>
  <c r="AA19" i="40"/>
  <c r="S28" i="40"/>
  <c r="U21" i="40"/>
  <c r="F32" i="39"/>
  <c r="AA32" i="39" s="1"/>
  <c r="F106" i="39"/>
  <c r="G106" i="39" s="1"/>
  <c r="H106" i="39" s="1"/>
  <c r="I106" i="39" s="1"/>
  <c r="J106" i="39" s="1"/>
  <c r="K106" i="39" s="1"/>
  <c r="L106" i="39" s="1"/>
  <c r="M106" i="39" s="1"/>
  <c r="AB27" i="39"/>
  <c r="J21" i="39"/>
  <c r="W21" i="39" s="1"/>
  <c r="F21" i="39"/>
  <c r="S21" i="39" s="1"/>
  <c r="H21" i="39"/>
  <c r="AB21" i="39" s="1"/>
  <c r="W19" i="39"/>
  <c r="S15" i="39"/>
  <c r="S9" i="39"/>
  <c r="U14" i="39"/>
  <c r="U13" i="36"/>
  <c r="U26" i="36"/>
  <c r="AA26" i="36"/>
  <c r="AC26" i="36"/>
  <c r="AB14" i="36"/>
  <c r="U22" i="36"/>
  <c r="S16" i="36"/>
  <c r="S24" i="36"/>
  <c r="U23" i="36"/>
  <c r="AB20" i="36"/>
  <c r="AA25" i="35"/>
  <c r="S23" i="35"/>
  <c r="U29" i="35"/>
  <c r="U28" i="35"/>
  <c r="AB27" i="35"/>
  <c r="AC30" i="35"/>
  <c r="S32" i="35"/>
  <c r="AB16" i="35"/>
  <c r="AC20" i="35"/>
  <c r="S22" i="35"/>
  <c r="U14" i="35"/>
  <c r="AC9" i="35"/>
  <c r="W9" i="35"/>
  <c r="F9" i="35"/>
  <c r="S9" i="35" s="1"/>
  <c r="H9" i="35"/>
  <c r="U9" i="35" s="1"/>
  <c r="AB40" i="37"/>
  <c r="AC29" i="37"/>
  <c r="U29" i="37"/>
  <c r="W30" i="37"/>
  <c r="S36" i="37"/>
  <c r="U32" i="37"/>
  <c r="AC35" i="37"/>
  <c r="S30" i="37"/>
  <c r="S37" i="37"/>
  <c r="J17" i="37"/>
  <c r="W17" i="37" s="1"/>
  <c r="G73" i="37"/>
  <c r="F17" i="37"/>
  <c r="AA17" i="37" s="1"/>
  <c r="F75" i="37"/>
  <c r="G75" i="37" s="1"/>
  <c r="F19" i="37"/>
  <c r="S19" i="37" s="1"/>
  <c r="F79" i="37"/>
  <c r="G79" i="37" s="1"/>
  <c r="F23" i="37"/>
  <c r="S23" i="37" s="1"/>
  <c r="U23" i="37"/>
  <c r="U15" i="37"/>
  <c r="H10" i="37"/>
  <c r="AB10" i="37" s="1"/>
  <c r="F11" i="37"/>
  <c r="S11" i="37" s="1"/>
  <c r="AB8" i="34"/>
  <c r="AA33" i="34"/>
  <c r="U43" i="34"/>
  <c r="AC42" i="34"/>
  <c r="AB35" i="34"/>
  <c r="U39" i="34"/>
  <c r="S43" i="34"/>
  <c r="AB41" i="34"/>
  <c r="AA45" i="34"/>
  <c r="AA25" i="34"/>
  <c r="S17" i="34"/>
  <c r="AA29" i="34"/>
  <c r="S23" i="34"/>
  <c r="U15" i="34"/>
  <c r="S13" i="34"/>
  <c r="H10" i="34"/>
  <c r="AB10" i="34" s="1"/>
  <c r="F11" i="34"/>
  <c r="S11" i="34" s="1"/>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F91" i="33"/>
  <c r="F87" i="33"/>
  <c r="G87" i="33" s="1"/>
  <c r="H87" i="33" s="1"/>
  <c r="I87" i="33" s="1"/>
  <c r="J87" i="33" s="1"/>
  <c r="K87" i="33" s="1"/>
  <c r="L87" i="33" s="1"/>
  <c r="M87" i="33" s="1"/>
  <c r="H25" i="33"/>
  <c r="AB25" i="33" s="1"/>
  <c r="F25" i="33"/>
  <c r="J23" i="33"/>
  <c r="AC23" i="33" s="1"/>
  <c r="F85" i="33"/>
  <c r="H23" i="33"/>
  <c r="U23" i="33" s="1"/>
  <c r="F19" i="33"/>
  <c r="S19" i="33" s="1"/>
  <c r="W19" i="33"/>
  <c r="J17" i="33"/>
  <c r="W17" i="33" s="1"/>
  <c r="F79" i="33"/>
  <c r="G79" i="33" s="1"/>
  <c r="S15" i="33"/>
  <c r="W15" i="33"/>
  <c r="U9" i="33"/>
  <c r="J10" i="33"/>
  <c r="W10" i="33" s="1"/>
  <c r="H10" i="33"/>
  <c r="U10" i="33" s="1"/>
  <c r="AC11" i="33"/>
  <c r="AB14" i="33"/>
  <c r="W41" i="21"/>
  <c r="AA38" i="21"/>
  <c r="AC40" i="21"/>
  <c r="J15" i="21"/>
  <c r="W15" i="21" s="1"/>
  <c r="F23" i="21"/>
  <c r="AA23"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AA15" i="40"/>
  <c r="S31" i="40"/>
  <c r="AB13" i="40"/>
  <c r="U15" i="40"/>
  <c r="U8" i="40"/>
  <c r="S8" i="40"/>
  <c r="AA39" i="39"/>
  <c r="AC41" i="39"/>
  <c r="U42" i="39"/>
  <c r="U41" i="39"/>
  <c r="W25" i="39"/>
  <c r="AB11" i="39"/>
  <c r="U11" i="39"/>
  <c r="AA27" i="39"/>
  <c r="S27" i="39"/>
  <c r="W17" i="39"/>
  <c r="AC17" i="39"/>
  <c r="S23" i="39"/>
  <c r="AB39" i="39"/>
  <c r="W34" i="39"/>
  <c r="U38" i="39"/>
  <c r="U32" i="36"/>
  <c r="W29" i="36"/>
  <c r="AC20" i="36"/>
  <c r="AA13" i="36"/>
  <c r="W22" i="36"/>
  <c r="AB20" i="35"/>
  <c r="AC25" i="35"/>
  <c r="S24" i="35"/>
  <c r="AA16" i="35"/>
  <c r="AA35" i="37"/>
  <c r="W36" i="37"/>
  <c r="U36" i="37"/>
  <c r="AB37" i="37"/>
  <c r="AC34" i="37"/>
  <c r="AA29" i="37"/>
  <c r="U8" i="37"/>
  <c r="AB40" i="34"/>
  <c r="W19" i="34"/>
  <c r="AB33" i="34"/>
  <c r="AC45" i="34"/>
  <c r="AB45" i="34"/>
  <c r="AB36" i="34"/>
  <c r="W33" i="34"/>
  <c r="AC14" i="34"/>
  <c r="AC32" i="34"/>
  <c r="AC29" i="34"/>
  <c r="W29" i="34"/>
  <c r="AA32" i="34"/>
  <c r="S37" i="34"/>
  <c r="U38" i="34"/>
  <c r="AC40" i="34"/>
  <c r="AA19" i="34"/>
  <c r="S19" i="34"/>
  <c r="AA36" i="34"/>
  <c r="S36" i="34"/>
  <c r="AA8" i="34"/>
  <c r="S8" i="34"/>
  <c r="U32" i="34"/>
  <c r="AC43" i="34"/>
  <c r="W43" i="34"/>
  <c r="AC23" i="34"/>
  <c r="AC35" i="34"/>
  <c r="W35" i="34"/>
  <c r="U12" i="34"/>
  <c r="AB12" i="34"/>
  <c r="AC37" i="33"/>
  <c r="U39" i="33"/>
  <c r="U44" i="33"/>
  <c r="AB44" i="33"/>
  <c r="S30" i="33"/>
  <c r="W14" i="33"/>
  <c r="AC30" i="33"/>
  <c r="W30" i="33"/>
  <c r="W13" i="33"/>
  <c r="AC13" i="33"/>
  <c r="S11" i="33"/>
  <c r="U37" i="33"/>
  <c r="AC28" i="33"/>
  <c r="W8" i="33"/>
  <c r="F33" i="21"/>
  <c r="AA33" i="21" s="1"/>
  <c r="J33" i="21"/>
  <c r="AC33" i="21" s="1"/>
  <c r="H33" i="21"/>
  <c r="AB33" i="21" s="1"/>
  <c r="AB14" i="21"/>
  <c r="S35" i="21"/>
  <c r="H15" i="21"/>
  <c r="U15" i="21"/>
  <c r="AC19" i="21"/>
  <c r="AC14" i="21"/>
  <c r="H45" i="21"/>
  <c r="U45" i="21" s="1"/>
  <c r="F29" i="21"/>
  <c r="AA29" i="21" s="1"/>
  <c r="F13" i="21"/>
  <c r="AA13" i="21" s="1"/>
  <c r="H32" i="21"/>
  <c r="AB32" i="21" s="1"/>
  <c r="H9" i="21"/>
  <c r="AB9" i="21" s="1"/>
  <c r="J9" i="21"/>
  <c r="W9" i="21" s="1"/>
  <c r="J32" i="21"/>
  <c r="W32" i="21" s="1"/>
  <c r="W29" i="21"/>
  <c r="S19" i="21"/>
  <c r="AA9" i="21"/>
  <c r="K141" i="21"/>
  <c r="K144" i="21"/>
  <c r="K143" i="21"/>
  <c r="AB25" i="21"/>
  <c r="AA30" i="21"/>
  <c r="F10" i="21"/>
  <c r="AA10" i="21" s="1"/>
  <c r="K145" i="21"/>
  <c r="AB29" i="21"/>
  <c r="C19" i="39"/>
  <c r="C15" i="40"/>
  <c r="C23" i="40"/>
  <c r="C21" i="40"/>
  <c r="U30" i="40"/>
  <c r="B56" i="43"/>
  <c r="B67" i="43"/>
  <c r="B51" i="43"/>
  <c r="B54" i="43"/>
  <c r="B62" i="43"/>
  <c r="B65" i="43"/>
  <c r="B69" i="43"/>
  <c r="D23" i="15"/>
  <c r="D22" i="15"/>
  <c r="E4" i="4"/>
  <c r="B5" i="62" s="1"/>
  <c r="B73" i="72" s="1"/>
  <c r="C4" i="4"/>
  <c r="AA39" i="40"/>
  <c r="AA12" i="33"/>
  <c r="J32" i="39"/>
  <c r="W32" i="39" s="1"/>
  <c r="H32" i="39"/>
  <c r="AB32" i="39" s="1"/>
  <c r="S32" i="39"/>
  <c r="AA21" i="39"/>
  <c r="S17" i="37"/>
  <c r="J19" i="37"/>
  <c r="W19" i="37" s="1"/>
  <c r="J23" i="37"/>
  <c r="W23" i="37" s="1"/>
  <c r="J10" i="37"/>
  <c r="W10" i="37" s="1"/>
  <c r="H11" i="37"/>
  <c r="AB11" i="37" s="1"/>
  <c r="H11" i="34"/>
  <c r="U11" i="34" s="1"/>
  <c r="J10" i="34"/>
  <c r="AC10" i="34" s="1"/>
  <c r="J36" i="33"/>
  <c r="W36" i="33" s="1"/>
  <c r="H36" i="33"/>
  <c r="U36" i="33" s="1"/>
  <c r="AC32" i="33"/>
  <c r="W32" i="33"/>
  <c r="G91" i="33"/>
  <c r="H91" i="33" s="1"/>
  <c r="I91" i="33" s="1"/>
  <c r="J91" i="33" s="1"/>
  <c r="K91" i="33" s="1"/>
  <c r="L91" i="33" s="1"/>
  <c r="M91" i="33" s="1"/>
  <c r="J27" i="33"/>
  <c r="W27" i="33" s="1"/>
  <c r="S25" i="33"/>
  <c r="AA25" i="33"/>
  <c r="J25" i="33"/>
  <c r="W25" i="33" s="1"/>
  <c r="F23" i="33"/>
  <c r="G85" i="33"/>
  <c r="AA19" i="33"/>
  <c r="H19" i="33"/>
  <c r="AB19" i="33" s="1"/>
  <c r="H17" i="33"/>
  <c r="U17" i="33" s="1"/>
  <c r="F17" i="33"/>
  <c r="S17" i="33" s="1"/>
  <c r="AB15" i="21"/>
  <c r="J23" i="21"/>
  <c r="AC23" i="21" s="1"/>
  <c r="H23" i="21"/>
  <c r="AB23" i="21" s="1"/>
  <c r="AP7" i="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15"/>
  <c r="F37" i="15"/>
  <c r="B13" i="76"/>
  <c r="F5" i="73"/>
  <c r="F26" i="15"/>
  <c r="F7" i="15"/>
  <c r="F6" i="15"/>
  <c r="F3" i="73"/>
  <c r="AO13" i="1"/>
  <c r="D35" i="9"/>
  <c r="M28" i="15"/>
  <c r="F7" i="73"/>
  <c r="E10" i="76"/>
  <c r="M28" i="67"/>
  <c r="E2" i="68"/>
  <c r="B12" i="76"/>
  <c r="B8" i="76"/>
  <c r="M23" i="67"/>
  <c r="M24" i="15"/>
  <c r="F8" i="15"/>
  <c r="M6" i="67"/>
  <c r="C76" i="15"/>
  <c r="E7" i="76"/>
  <c r="E11" i="76"/>
  <c r="F37" i="67"/>
  <c r="E13" i="76"/>
  <c r="F43" i="15"/>
  <c r="D34" i="9"/>
  <c r="B11" i="76"/>
  <c r="F6" i="73"/>
  <c r="F36" i="67"/>
  <c r="F40" i="67"/>
  <c r="E8" i="76"/>
  <c r="L47" i="67"/>
  <c r="F20" i="31"/>
  <c r="B9" i="76"/>
  <c r="F40" i="15"/>
  <c r="E12" i="76"/>
  <c r="E9" i="76"/>
  <c r="B7" i="76"/>
  <c r="E2" i="69"/>
  <c r="F38" i="15"/>
  <c r="B10" i="76"/>
  <c r="D6" i="73"/>
  <c r="M6" i="15"/>
  <c r="F4" i="73"/>
  <c r="AB39" i="37" l="1"/>
  <c r="U39" i="37"/>
  <c r="AB13" i="39"/>
  <c r="U13" i="39"/>
  <c r="AZ522" i="3"/>
  <c r="AZ541" i="3"/>
  <c r="U25" i="33"/>
  <c r="AA15" i="21"/>
  <c r="F37" i="21"/>
  <c r="AA37" i="21" s="1"/>
  <c r="U28" i="21"/>
  <c r="S33" i="33"/>
  <c r="AB14" i="34"/>
  <c r="U19" i="34"/>
  <c r="U19" i="37"/>
  <c r="AB28" i="36"/>
  <c r="S8" i="39"/>
  <c r="S33" i="40"/>
  <c r="U28" i="34"/>
  <c r="W41" i="34"/>
  <c r="AC15" i="37"/>
  <c r="U36" i="40"/>
  <c r="AZ373" i="3"/>
  <c r="F9" i="37"/>
  <c r="S9" i="37" s="1"/>
  <c r="H37" i="21"/>
  <c r="U37" i="21" s="1"/>
  <c r="BL501" i="3"/>
  <c r="BL527" i="3"/>
  <c r="BL535" i="3"/>
  <c r="BL551" i="3"/>
  <c r="BL571" i="3"/>
  <c r="BL579" i="3"/>
  <c r="F13" i="39"/>
  <c r="F28" i="33"/>
  <c r="W40" i="33"/>
  <c r="F34" i="21"/>
  <c r="AA34" i="21" s="1"/>
  <c r="H13" i="21"/>
  <c r="J13" i="21"/>
  <c r="AZ510" i="3"/>
  <c r="W30" i="40"/>
  <c r="W31" i="21"/>
  <c r="J37" i="21"/>
  <c r="W37" i="21" s="1"/>
  <c r="U40" i="21"/>
  <c r="U38" i="33"/>
  <c r="U25" i="34"/>
  <c r="AA31" i="37"/>
  <c r="AB31" i="40"/>
  <c r="U22" i="35"/>
  <c r="U36" i="35"/>
  <c r="U35" i="40"/>
  <c r="AZ361" i="3"/>
  <c r="J9" i="37"/>
  <c r="W9" i="37" s="1"/>
  <c r="BL495" i="3"/>
  <c r="BL503" i="3"/>
  <c r="BL519" i="3"/>
  <c r="BL529" i="3"/>
  <c r="BL537" i="3"/>
  <c r="BL545" i="3"/>
  <c r="H28" i="33"/>
  <c r="J36" i="35"/>
  <c r="AC36" i="35" s="1"/>
  <c r="H27" i="37"/>
  <c r="U27" i="37" s="1"/>
  <c r="F27" i="37"/>
  <c r="S27" i="37" s="1"/>
  <c r="J40" i="37"/>
  <c r="W40" i="37" s="1"/>
  <c r="F40" i="37"/>
  <c r="BL578" i="3"/>
  <c r="BL564" i="3"/>
  <c r="BA561" i="3"/>
  <c r="AZ561" i="3" s="1"/>
  <c r="BA552" i="3"/>
  <c r="BA547" i="3"/>
  <c r="BA538" i="3"/>
  <c r="BA537" i="3"/>
  <c r="BA530" i="3"/>
  <c r="BA508" i="3"/>
  <c r="B58" i="43"/>
  <c r="C17" i="40"/>
  <c r="W25" i="21"/>
  <c r="AB46" i="21"/>
  <c r="U15" i="33"/>
  <c r="AB47" i="34"/>
  <c r="W32" i="37"/>
  <c r="U11" i="40"/>
  <c r="S43" i="33"/>
  <c r="F36" i="35"/>
  <c r="S36" i="35" s="1"/>
  <c r="W15" i="34"/>
  <c r="AC36" i="34"/>
  <c r="S21" i="40"/>
  <c r="BL497" i="3"/>
  <c r="BL505" i="3"/>
  <c r="BL509" i="3"/>
  <c r="BL513" i="3"/>
  <c r="BL523" i="3"/>
  <c r="BL531" i="3"/>
  <c r="BL547" i="3"/>
  <c r="AZ547" i="3" s="1"/>
  <c r="BL555" i="3"/>
  <c r="BL559" i="3"/>
  <c r="U26" i="33"/>
  <c r="F28" i="21"/>
  <c r="S26" i="33"/>
  <c r="U42" i="34"/>
  <c r="W39" i="33"/>
  <c r="F31" i="34"/>
  <c r="H31" i="34"/>
  <c r="F35" i="35"/>
  <c r="H35" i="35"/>
  <c r="J43" i="39"/>
  <c r="H43" i="39"/>
  <c r="BA562" i="3"/>
  <c r="BL538" i="3"/>
  <c r="BL536" i="3"/>
  <c r="AZ536" i="3" s="1"/>
  <c r="BA525" i="3"/>
  <c r="BA518" i="3"/>
  <c r="BL516" i="3"/>
  <c r="AZ516" i="3" s="1"/>
  <c r="BL500" i="3"/>
  <c r="AZ500" i="3" s="1"/>
  <c r="BA498" i="3"/>
  <c r="AA41" i="21"/>
  <c r="G547" i="3"/>
  <c r="G539" i="3"/>
  <c r="G532" i="3"/>
  <c r="G524" i="3"/>
  <c r="G523" i="3"/>
  <c r="BA400" i="3"/>
  <c r="G403" i="3"/>
  <c r="G408" i="3"/>
  <c r="G444" i="3"/>
  <c r="G452" i="3"/>
  <c r="G329" i="3"/>
  <c r="BA212" i="3"/>
  <c r="BA220" i="3"/>
  <c r="BL222" i="3"/>
  <c r="G235" i="3"/>
  <c r="G270" i="3"/>
  <c r="G281" i="3"/>
  <c r="BL64" i="3"/>
  <c r="BL93" i="3"/>
  <c r="G103" i="3"/>
  <c r="G106" i="3"/>
  <c r="U29" i="39"/>
  <c r="C87" i="71"/>
  <c r="C86" i="71" s="1"/>
  <c r="D86" i="71" s="1"/>
  <c r="Q68" i="71"/>
  <c r="S68" i="71"/>
  <c r="V68" i="71"/>
  <c r="BA385" i="3"/>
  <c r="BA262" i="3"/>
  <c r="AZ262" i="3" s="1"/>
  <c r="BA265" i="3"/>
  <c r="BA122" i="3"/>
  <c r="AZ122" i="3" s="1"/>
  <c r="BL127" i="3"/>
  <c r="AZ127" i="3" s="1"/>
  <c r="BL166" i="3"/>
  <c r="BL181" i="3"/>
  <c r="BL23" i="3"/>
  <c r="BL35" i="3"/>
  <c r="BL48" i="3"/>
  <c r="BA62" i="3"/>
  <c r="C29" i="39"/>
  <c r="G566" i="3"/>
  <c r="G564" i="3"/>
  <c r="G559" i="3"/>
  <c r="G544" i="3"/>
  <c r="G515" i="3"/>
  <c r="G508" i="3"/>
  <c r="G501" i="3"/>
  <c r="G498" i="3"/>
  <c r="G438" i="3"/>
  <c r="G455" i="3"/>
  <c r="BL458" i="3"/>
  <c r="G461" i="3"/>
  <c r="G466" i="3"/>
  <c r="G481" i="3"/>
  <c r="G351" i="3"/>
  <c r="G387" i="3"/>
  <c r="G217" i="3"/>
  <c r="G234" i="3"/>
  <c r="G238" i="3"/>
  <c r="G258" i="3"/>
  <c r="G262" i="3"/>
  <c r="G263" i="3"/>
  <c r="G271" i="3"/>
  <c r="G287" i="3"/>
  <c r="G292" i="3"/>
  <c r="G300" i="3"/>
  <c r="G127" i="3"/>
  <c r="BL74" i="3"/>
  <c r="G80" i="3"/>
  <c r="BL82" i="3"/>
  <c r="G83" i="3"/>
  <c r="BA84" i="3"/>
  <c r="G101" i="3"/>
  <c r="G112" i="3"/>
  <c r="AC21" i="21"/>
  <c r="AB21" i="37"/>
  <c r="W25" i="40"/>
  <c r="B57" i="43"/>
  <c r="AB35" i="71"/>
  <c r="U35" i="21"/>
  <c r="AC45" i="21"/>
  <c r="AB45" i="21"/>
  <c r="H42" i="21"/>
  <c r="U42" i="21" s="1"/>
  <c r="J42" i="21"/>
  <c r="AC42" i="21" s="1"/>
  <c r="F42" i="21"/>
  <c r="AA42" i="21" s="1"/>
  <c r="AB25" i="39"/>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W13" i="39"/>
  <c r="AC13" i="39"/>
  <c r="U13" i="35"/>
  <c r="AB13" i="35"/>
  <c r="AB11" i="33"/>
  <c r="U11" i="33"/>
  <c r="W15" i="40"/>
  <c r="AC15" i="40"/>
  <c r="AA17" i="39"/>
  <c r="S17" i="39"/>
  <c r="W28" i="21"/>
  <c r="AC28" i="21"/>
  <c r="H31" i="21"/>
  <c r="F31" i="21"/>
  <c r="J26" i="33"/>
  <c r="F32" i="36"/>
  <c r="J32" i="36"/>
  <c r="W32" i="36" s="1"/>
  <c r="J33" i="40"/>
  <c r="H33" i="40"/>
  <c r="U33" i="40" s="1"/>
  <c r="BL563" i="3"/>
  <c r="BA558" i="3"/>
  <c r="AZ558" i="3" s="1"/>
  <c r="BA557" i="3"/>
  <c r="BA553" i="3"/>
  <c r="BL546" i="3"/>
  <c r="AZ546" i="3" s="1"/>
  <c r="BA543" i="3"/>
  <c r="BA535" i="3"/>
  <c r="BA534" i="3"/>
  <c r="AZ534" i="3" s="1"/>
  <c r="BL533" i="3"/>
  <c r="AZ533" i="3" s="1"/>
  <c r="BL532" i="3"/>
  <c r="AZ532" i="3" s="1"/>
  <c r="BL530" i="3"/>
  <c r="AZ530" i="3" s="1"/>
  <c r="BA528" i="3"/>
  <c r="AZ528" i="3" s="1"/>
  <c r="BA527" i="3"/>
  <c r="BL524" i="3"/>
  <c r="AZ524" i="3" s="1"/>
  <c r="BA520" i="3"/>
  <c r="AZ520" i="3" s="1"/>
  <c r="BA512" i="3"/>
  <c r="BA507" i="3"/>
  <c r="BL504" i="3"/>
  <c r="BA499" i="3"/>
  <c r="BL494" i="3"/>
  <c r="AZ494" i="3" s="1"/>
  <c r="AZ377" i="3"/>
  <c r="AZ523" i="3"/>
  <c r="BL583" i="3"/>
  <c r="AZ503" i="3"/>
  <c r="AZ506" i="3"/>
  <c r="J24" i="35"/>
  <c r="H24" i="35"/>
  <c r="H9" i="36"/>
  <c r="AB9" i="36" s="1"/>
  <c r="J9" i="36"/>
  <c r="AA44" i="39"/>
  <c r="S44" i="39"/>
  <c r="J12" i="40"/>
  <c r="F12" i="40"/>
  <c r="S12" i="40" s="1"/>
  <c r="BA584" i="3"/>
  <c r="BA576" i="3"/>
  <c r="BL570" i="3"/>
  <c r="BA568" i="3"/>
  <c r="AZ310" i="3"/>
  <c r="AZ515" i="3"/>
  <c r="BL569" i="3"/>
  <c r="BL577" i="3"/>
  <c r="AZ577" i="3" s="1"/>
  <c r="AZ498" i="3"/>
  <c r="AZ560" i="3"/>
  <c r="U37" i="40"/>
  <c r="AB37" i="40"/>
  <c r="AC33" i="33"/>
  <c r="W33" i="33"/>
  <c r="AB24" i="36"/>
  <c r="U24" i="36"/>
  <c r="BA563" i="3"/>
  <c r="BA548" i="3"/>
  <c r="BL544" i="3"/>
  <c r="BA540" i="3"/>
  <c r="AZ540" i="3" s="1"/>
  <c r="BA517" i="3"/>
  <c r="BL512" i="3"/>
  <c r="BL508" i="3"/>
  <c r="AZ508" i="3" s="1"/>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AZ340" i="3" s="1"/>
  <c r="BL350" i="3"/>
  <c r="BA353" i="3"/>
  <c r="BL353" i="3"/>
  <c r="BL359" i="3"/>
  <c r="AZ359" i="3" s="1"/>
  <c r="BL367" i="3"/>
  <c r="G380" i="3"/>
  <c r="BL383" i="3"/>
  <c r="AZ383" i="3" s="1"/>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44" i="3"/>
  <c r="AZ554" i="3"/>
  <c r="AZ572" i="3"/>
  <c r="AC40" i="37"/>
  <c r="AB34" i="21"/>
  <c r="U34" i="21"/>
  <c r="J39" i="37"/>
  <c r="F39" i="37"/>
  <c r="S39" i="37" s="1"/>
  <c r="AB9" i="39"/>
  <c r="U9" i="39"/>
  <c r="S27" i="40"/>
  <c r="U27" i="40"/>
  <c r="H12" i="36"/>
  <c r="J12" i="36"/>
  <c r="F12" i="36"/>
  <c r="W41" i="33"/>
  <c r="AC41" i="33"/>
  <c r="AZ17" i="3"/>
  <c r="AZ322" i="3"/>
  <c r="AZ311" i="3"/>
  <c r="AZ342" i="3"/>
  <c r="AZ337"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E125" i="2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2" i="21"/>
  <c r="AB38" i="21"/>
  <c r="AB36" i="21"/>
  <c r="S37" i="21"/>
  <c r="AC38" i="21"/>
  <c r="AB39" i="21"/>
  <c r="AC44" i="21"/>
  <c r="W44" i="21"/>
  <c r="S44" i="21"/>
  <c r="AA36" i="21"/>
  <c r="U32" i="21"/>
  <c r="I89" i="21"/>
  <c r="J89" i="21" s="1"/>
  <c r="F26" i="21"/>
  <c r="S26" i="21" s="1"/>
  <c r="AC27" i="21"/>
  <c r="AC34" i="21"/>
  <c r="W36" i="21"/>
  <c r="S39" i="21"/>
  <c r="W39" i="21"/>
  <c r="D93" i="9"/>
  <c r="B41" i="1"/>
  <c r="M18" i="67" s="1"/>
  <c r="BE5" i="3"/>
  <c r="BL13" i="3"/>
  <c r="F29" i="6"/>
  <c r="E29" i="6" s="1"/>
  <c r="K6" i="1"/>
  <c r="M6" i="1" s="1"/>
  <c r="C7" i="40"/>
  <c r="C63" i="40" s="1"/>
  <c r="C65" i="40" s="1"/>
  <c r="C7" i="39"/>
  <c r="C67" i="39" s="1"/>
  <c r="C69"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M7" i="15"/>
  <c r="F50" i="15"/>
  <c r="F51" i="15"/>
  <c r="F71" i="15"/>
  <c r="F66" i="15"/>
  <c r="F64" i="15"/>
  <c r="C27" i="15"/>
  <c r="F65" i="15"/>
  <c r="N59" i="67"/>
  <c r="L59" i="67"/>
  <c r="M59" i="67"/>
  <c r="B13" i="70"/>
  <c r="F68" i="67"/>
  <c r="F64" i="67"/>
  <c r="F68" i="15"/>
  <c r="D9" i="68"/>
  <c r="F13" i="67"/>
  <c r="M24" i="67"/>
  <c r="L48" i="67"/>
  <c r="F7" i="67"/>
  <c r="F27" i="69"/>
  <c r="D9" i="69"/>
  <c r="F26" i="67"/>
  <c r="L48" i="15"/>
  <c r="M23" i="15"/>
  <c r="D3" i="73"/>
  <c r="F16" i="67"/>
  <c r="M22" i="15"/>
  <c r="F6" i="67"/>
  <c r="F16" i="15"/>
  <c r="F9" i="67"/>
  <c r="D4" i="73"/>
  <c r="D7" i="73"/>
  <c r="F43" i="67"/>
  <c r="M26" i="15"/>
  <c r="J15" i="67"/>
  <c r="C36" i="69"/>
  <c r="M9" i="67"/>
  <c r="F38" i="67"/>
  <c r="M8" i="67"/>
  <c r="C76" i="67"/>
  <c r="F42" i="67"/>
  <c r="M22" i="67"/>
  <c r="F8" i="67"/>
  <c r="M29" i="67"/>
  <c r="D5" i="73"/>
  <c r="F9" i="15"/>
  <c r="F13" i="15"/>
  <c r="M29" i="15"/>
  <c r="M8" i="15"/>
  <c r="J15" i="15"/>
  <c r="F42" i="15"/>
  <c r="L47" i="15"/>
  <c r="M26" i="67"/>
  <c r="M9" i="15"/>
  <c r="I54" i="67" l="1"/>
  <c r="H43" i="21"/>
  <c r="AB43" i="21" s="1"/>
  <c r="AZ30" i="3"/>
  <c r="AZ291" i="3"/>
  <c r="AZ217" i="3"/>
  <c r="AZ353" i="3"/>
  <c r="AZ563" i="3"/>
  <c r="U43" i="39"/>
  <c r="AB43" i="39"/>
  <c r="AZ538" i="3"/>
  <c r="AC13" i="21"/>
  <c r="W13" i="21"/>
  <c r="AA28" i="33"/>
  <c r="S28" i="33"/>
  <c r="E28" i="6"/>
  <c r="K14" i="1" s="1"/>
  <c r="AZ483" i="3"/>
  <c r="AZ404" i="3"/>
  <c r="AZ418" i="3"/>
  <c r="AZ13" i="3"/>
  <c r="AZ467" i="3"/>
  <c r="E11" i="6"/>
  <c r="E60" i="39" s="1"/>
  <c r="AZ221" i="3"/>
  <c r="AZ297" i="3"/>
  <c r="AZ569" i="3"/>
  <c r="AC43" i="39"/>
  <c r="W43" i="39"/>
  <c r="S31" i="34"/>
  <c r="AA31" i="34"/>
  <c r="AA28" i="21"/>
  <c r="S28" i="21"/>
  <c r="AB13" i="21"/>
  <c r="U13" i="21"/>
  <c r="S13" i="39"/>
  <c r="AA13" i="39"/>
  <c r="AA40" i="37"/>
  <c r="S40" i="37"/>
  <c r="AZ478" i="3"/>
  <c r="S35" i="35"/>
  <c r="AA35" i="35"/>
  <c r="U28" i="33"/>
  <c r="AB28" i="33"/>
  <c r="U43" i="21"/>
  <c r="F125" i="21"/>
  <c r="G125" i="21" s="1"/>
  <c r="J43" i="21" s="1"/>
  <c r="AC43" i="21" s="1"/>
  <c r="F43" i="21"/>
  <c r="AB42" i="21"/>
  <c r="S42" i="21"/>
  <c r="O6" i="1"/>
  <c r="C36" i="68"/>
  <c r="H16" i="1"/>
  <c r="Q16" i="1"/>
  <c r="F28" i="12" s="1"/>
  <c r="C29" i="12" s="1"/>
  <c r="D28" i="12" s="1"/>
  <c r="F50" i="67"/>
  <c r="M7" i="67"/>
  <c r="J6" i="67" s="1"/>
  <c r="J18" i="67" s="1"/>
  <c r="L58" i="15"/>
  <c r="Q60" i="15" s="1"/>
  <c r="M59" i="15"/>
  <c r="L59" i="15"/>
  <c r="Q61" i="15" s="1"/>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27" i="67"/>
  <c r="F31" i="67"/>
  <c r="C6" i="67"/>
  <c r="J53" i="67"/>
  <c r="F1" i="67" s="1"/>
  <c r="L56" i="67"/>
  <c r="J57" i="67"/>
  <c r="J55" i="67" s="1"/>
  <c r="J58" i="67" s="1"/>
  <c r="Q50" i="67" s="1"/>
  <c r="L58" i="67"/>
  <c r="Q60" i="67" s="1"/>
  <c r="AZ88" i="3"/>
  <c r="AZ247" i="3"/>
  <c r="AZ283" i="3"/>
  <c r="AZ368" i="3"/>
  <c r="AZ473" i="3"/>
  <c r="AZ419" i="3"/>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B29" i="1" s="1"/>
  <c r="C8" i="68" s="1"/>
  <c r="C5" i="68" s="1"/>
  <c r="C9" i="68"/>
  <c r="E72" i="43"/>
  <c r="B70" i="43" s="1"/>
  <c r="C29" i="69"/>
  <c r="D27" i="69" s="1"/>
  <c r="F45" i="69"/>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M11" i="67"/>
  <c r="J10" i="67" s="1"/>
  <c r="F11" i="15"/>
  <c r="M11" i="15"/>
  <c r="J10" i="15" s="1"/>
  <c r="F11" i="67"/>
  <c r="Q61" i="67"/>
  <c r="Q74" i="67"/>
  <c r="AE11" i="1"/>
  <c r="AE9" i="1"/>
  <c r="AE7" i="1"/>
  <c r="AE8" i="1"/>
  <c r="AE12" i="1"/>
  <c r="AE10" i="1"/>
  <c r="C16" i="67"/>
  <c r="C16" i="15"/>
  <c r="AE6" i="1"/>
  <c r="G1" i="73"/>
  <c r="Q74" i="15" l="1"/>
  <c r="E56" i="40"/>
  <c r="W7" i="37"/>
  <c r="W43" i="21"/>
  <c r="F59" i="67"/>
  <c r="M17" i="67"/>
  <c r="C32" i="67"/>
  <c r="AB7" i="36"/>
  <c r="T36" i="36" s="1"/>
  <c r="G36" i="36" s="1"/>
  <c r="AJ6" i="3"/>
  <c r="F1" i="15"/>
  <c r="C49" i="67"/>
  <c r="S43" i="21"/>
  <c r="AA43" i="21"/>
  <c r="Q52" i="15"/>
  <c r="Q73" i="67"/>
  <c r="Q73" i="15"/>
  <c r="F27" i="68"/>
  <c r="F45" i="68" s="1"/>
  <c r="E567" i="3"/>
  <c r="E295" i="3"/>
  <c r="E148" i="3"/>
  <c r="E52" i="3"/>
  <c r="E63" i="39"/>
  <c r="E59" i="40"/>
  <c r="C21" i="71"/>
  <c r="D22" i="71"/>
  <c r="E106" i="3"/>
  <c r="E29" i="3"/>
  <c r="C30" i="11"/>
  <c r="E261" i="3"/>
  <c r="E288" i="3"/>
  <c r="J5" i="67"/>
  <c r="J24" i="67" s="1"/>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M27" i="67"/>
  <c r="F41" i="15"/>
  <c r="F41" i="67"/>
  <c r="M27" i="15"/>
  <c r="AC10" i="39" l="1"/>
  <c r="AB10" i="39"/>
  <c r="C48" i="67"/>
  <c r="C66" i="67" s="1"/>
  <c r="C29" i="68"/>
  <c r="D27" i="68" s="1"/>
  <c r="C47" i="68"/>
  <c r="D45" i="68" s="1"/>
  <c r="D21" i="71"/>
  <c r="C20" i="71"/>
  <c r="E36" i="36"/>
  <c r="G47" i="37"/>
  <c r="H47" i="37" s="1"/>
  <c r="G54" i="34"/>
  <c r="H54" i="34" s="1"/>
  <c r="AC6" i="3"/>
  <c r="AA10" i="40"/>
  <c r="F69" i="67"/>
  <c r="T10" i="43"/>
  <c r="V10" i="43" s="1"/>
  <c r="C42" i="43"/>
  <c r="E42" i="43" s="1"/>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7" i="67"/>
  <c r="C14" i="67"/>
  <c r="C17" i="15"/>
  <c r="C34" i="69"/>
  <c r="G42" i="43" l="1"/>
  <c r="I42" i="43" s="1"/>
  <c r="G40" i="43"/>
  <c r="I40" i="43" s="1"/>
  <c r="T20" i="71"/>
  <c r="D20" i="71"/>
  <c r="U20" i="71" s="1"/>
  <c r="C19" i="71"/>
  <c r="G39" i="43"/>
  <c r="I39" i="43" s="1"/>
  <c r="E38" i="43"/>
  <c r="E33" i="43"/>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18" i="7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48" i="35"/>
  <c r="E6" i="76"/>
  <c r="B6" i="76"/>
  <c r="D10" i="69"/>
  <c r="B2" i="76" l="1"/>
  <c r="B3" i="43"/>
  <c r="D18" i="71"/>
  <c r="C17" i="71"/>
  <c r="L19" i="9"/>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B3" i="76" l="1"/>
  <c r="D17" i="7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F35" i="15"/>
  <c r="M21" i="15"/>
  <c r="M21" i="67"/>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C52" i="69"/>
  <c r="B2" i="69" s="1"/>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19" i="9"/>
  <c r="D2" i="34"/>
  <c r="D2" i="37"/>
  <c r="B3" i="69"/>
  <c r="C19" i="9"/>
  <c r="D21" i="9" l="1"/>
  <c r="D102" i="9"/>
  <c r="C11" i="71"/>
  <c r="T12" i="71"/>
  <c r="D12" i="71"/>
  <c r="U12" i="71" s="1"/>
  <c r="C57" i="69"/>
  <c r="C56" i="69" s="1"/>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6" i="1"/>
  <c r="AO8" i="1"/>
  <c r="AO9" i="1"/>
  <c r="AO11" i="1"/>
  <c r="C20" i="9"/>
  <c r="AO10" i="1"/>
  <c r="AO12" i="1"/>
  <c r="D103" i="9" l="1"/>
  <c r="C10" i="7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60" i="9" l="1"/>
  <c r="N61" i="9"/>
  <c r="D53" i="9"/>
  <c r="D52" i="9"/>
  <c r="C104" i="9"/>
  <c r="H4" i="52"/>
  <c r="M48" i="9"/>
  <c r="B52" i="72"/>
  <c r="G4" i="52"/>
  <c r="N58" i="9"/>
  <c r="N59" i="9"/>
  <c r="P57" i="9"/>
  <c r="B51" i="72"/>
  <c r="B20" i="72"/>
  <c r="H119" i="9"/>
  <c r="H5" i="52"/>
  <c r="B32" i="72"/>
  <c r="C6" i="74"/>
  <c r="M54" i="9"/>
  <c r="I4" i="52"/>
  <c r="C105" i="9"/>
  <c r="B21" i="72"/>
  <c r="N57" i="9"/>
  <c r="B30" i="72"/>
  <c r="D13" i="53"/>
  <c r="D14" i="53"/>
  <c r="D9" i="52"/>
  <c r="D5" i="53"/>
  <c r="D6" i="53"/>
  <c r="B22" i="72"/>
  <c r="C81" i="9"/>
  <c r="D8" i="52"/>
  <c r="D122" i="9"/>
  <c r="D123" i="9"/>
  <c r="C68" i="9"/>
  <c r="D54" i="9"/>
  <c r="H107" i="9"/>
  <c r="H108" i="9"/>
  <c r="D15" i="53"/>
  <c r="B31" i="72"/>
  <c r="F4" i="52"/>
  <c r="D55" i="9"/>
  <c r="M53" i="9"/>
  <c r="C96" i="9"/>
  <c r="E96" i="9"/>
  <c r="E97" i="9"/>
  <c r="G118" i="9"/>
  <c r="F118" i="9"/>
  <c r="F119" i="9"/>
  <c r="F5" i="52"/>
  <c r="B53" i="72"/>
  <c r="C93" i="9"/>
  <c r="C86" i="9"/>
  <c r="C85" i="9"/>
  <c r="C95" i="9"/>
  <c r="C97" i="9"/>
  <c r="D58" i="9"/>
  <c r="D56" i="9"/>
  <c r="C72" i="9"/>
  <c r="C79" i="9"/>
  <c r="C80" i="9"/>
  <c r="E80" i="9"/>
  <c r="E81" i="9"/>
  <c r="C5" i="74"/>
  <c r="H102" i="9"/>
  <c r="D7" i="53"/>
  <c r="C67" i="9"/>
  <c r="D59" i="9"/>
  <c r="M55" i="9"/>
  <c r="E4" i="52"/>
  <c r="B48" i="72"/>
  <c r="C64" i="9"/>
  <c r="C63" i="9"/>
  <c r="H101" i="9"/>
  <c r="D45" i="9"/>
  <c r="C78" i="9"/>
  <c r="C73" i="9"/>
  <c r="D119" i="9"/>
  <c r="D5" i="52"/>
  <c r="B49" i="72"/>
  <c r="H118" i="9"/>
  <c r="I118" i="9"/>
  <c r="E118" i="9"/>
  <c r="D118" i="9"/>
  <c r="D4" i="52"/>
  <c r="B47"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<sst xmlns="http://schemas.openxmlformats.org/spreadsheetml/2006/main" count="7929" uniqueCount="3498">
  <si>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</si>
  <si>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</si>
  <si>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</si>
  <si>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</si>
  <si>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</si>
  <si>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</si>
  <si>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</si>
  <si>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</si>
  <si>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</si>
  <si>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</si>
  <si>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</si>
  <si>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</si>
  <si>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</si>
  <si>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</si>
  <si>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</si>
  <si>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</si>
  <si>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</si>
  <si>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</si>
  <si>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</si>
  <si>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</si>
  <si>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</si>
  <si>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</si>
  <si>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</si>
  <si>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</si>
  <si>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</si>
  <si>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</si>
  <si>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</si>
  <si>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</si>
  <si>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</si>
  <si>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</si>
  <si>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</si>
  <si>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</si>
  <si>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</si>
  <si>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</si>
  <si>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</si>
  <si>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</si>
  <si>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</si>
  <si>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</si>
  <si>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</si>
  <si>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</si>
  <si>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</si>
  <si>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</si>
  <si>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</si>
  <si>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</si>
  <si>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</si>
  <si>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</si>
  <si>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</si>
  <si>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</si>
  <si>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</si>
  <si>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</si>
  <si>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</si>
  <si>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</si>
  <si>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</si>
  <si>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</si>
  <si>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</si>
  <si>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</si>
  <si>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</si>
  <si>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</si>
  <si>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</si>
  <si>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</si>
  <si>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</si>
  <si>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</si>
  <si>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</si>
  <si>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</si>
  <si>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</si>
  <si>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</si>
  <si>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</si>
  <si>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</si>
  <si>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</si>
  <si>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</si>
  <si>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</si>
  <si>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</si>
  <si>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</si>
  <si>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</si>
  <si>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</si>
  <si>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</si>
  <si>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</si>
  <si>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</si>
  <si>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</si>
  <si>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</si>
  <si>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</si>
  <si>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</si>
  <si>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</si>
  <si>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</si>
  <si>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</si>
  <si>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</si>
  <si>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</si>
  <si>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</si>
  <si>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</si>
  <si>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</si>
  <si>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</si>
  <si>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</si>
  <si>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</si>
  <si>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</si>
  <si>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</si>
  <si>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</si>
  <si>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</si>
  <si>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</si>
  <si>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</si>
  <si>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</si>
  <si>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</si>
  <si>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</si>
  <si>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</si>
  <si>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</si>
  <si>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</si>
  <si>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</si>
  <si>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</si>
  <si>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</si>
  <si>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</si>
  <si>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</si>
  <si>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</si>
  <si>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</si>
  <si>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</si>
  <si>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</si>
  <si>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</si>
  <si>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</si>
  <si>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</si>
  <si>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</si>
  <si>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</si>
  <si>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</si>
  <si>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</si>
  <si>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</si>
  <si>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</si>
  <si>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</si>
  <si>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</si>
  <si>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</si>
  <si>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</si>
  <si>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</si>
  <si>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</si>
  <si>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</si>
  <si>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</si>
  <si>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</si>
  <si>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</si>
  <si>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</si>
  <si>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</si>
  <si>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</si>
  <si>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</si>
  <si>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</si>
  <si>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</si>
  <si>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</si>
  <si>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</si>
  <si>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</si>
  <si>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</si>
  <si>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</si>
  <si>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</si>
  <si>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</si>
  <si>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</si>
  <si>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</si>
  <si>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</si>
  <si>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</si>
  <si>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</si>
  <si>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</si>
  <si>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</si>
  <si>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</si>
  <si>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</si>
  <si>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</si>
  <si>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</si>
  <si>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</si>
  <si>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</si>
  <si>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</si>
  <si>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</si>
  <si>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</si>
  <si>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</si>
  <si>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</si>
  <si>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</si>
  <si>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</si>
  <si>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</si>
  <si>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</si>
  <si>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</si>
  <si>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</si>
  <si>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</si>
  <si>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</si>
  <si>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</si>
  <si>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</si>
  <si>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</si>
  <si>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</si>
  <si>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</si>
  <si>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</si>
  <si>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</si>
  <si>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</si>
  <si>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</si>
  <si>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</si>
  <si>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</si>
  <si>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</si>
  <si>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</si>
  <si>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</si>
  <si>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</si>
  <si>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</si>
  <si>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</si>
  <si>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</si>
  <si>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</si>
  <si>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</si>
  <si>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</si>
  <si>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</si>
  <si>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</si>
  <si>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</si>
  <si>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</si>
  <si>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</si>
  <si>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</si>
  <si>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</si>
  <si>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</si>
  <si>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</si>
  <si>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</si>
  <si>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</si>
  <si>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</si>
  <si>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</si>
  <si>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</si>
  <si>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</si>
  <si>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</si>
  <si>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</si>
  <si>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</si>
  <si>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</si>
  <si>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</si>
  <si>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</si>
  <si>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</si>
  <si>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</si>
  <si>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</si>
  <si>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</si>
  <si>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</si>
  <si>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</si>
  <si>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</si>
  <si>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</si>
  <si>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</si>
  <si>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</si>
  <si>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</si>
  <si>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</si>
  <si>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</si>
  <si>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</si>
  <si>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</si>
  <si>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</si>
  <si>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</si>
  <si>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</si>
  <si>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</si>
  <si>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</si>
  <si>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</si>
  <si>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</si>
  <si>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</si>
  <si>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</si>
  <si>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</si>
  <si>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</si>
  <si>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</si>
  <si>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</si>
  <si>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</si>
  <si>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</si>
  <si>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</si>
  <si>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</si>
  <si>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</si>
  <si>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</si>
  <si>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</si>
  <si>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</si>
  <si>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</si>
  <si>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</si>
  <si>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</si>
  <si>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</si>
  <si>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</si>
  <si>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</si>
  <si>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</si>
  <si>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</si>
  <si>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</si>
  <si>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</si>
  <si>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</si>
  <si>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</si>
  <si>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</si>
  <si>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</si>
  <si>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</si>
  <si>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</si>
  <si>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</si>
  <si>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</si>
  <si>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</si>
  <si>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</si>
  <si>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</si>
  <si>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</si>
  <si>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</si>
  <si>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</si>
  <si>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</si>
  <si>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</si>
  <si>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</si>
  <si>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</si>
  <si>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</si>
  <si>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</si>
  <si>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</si>
  <si>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</si>
  <si>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</si>
  <si>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</si>
  <si>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</si>
  <si>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</si>
  <si>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</si>
  <si>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</si>
  <si>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</si>
  <si>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</si>
  <si>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</si>
  <si>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</si>
  <si>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</si>
  <si>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</si>
  <si>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</si>
  <si>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</si>
  <si>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</si>
  <si>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</si>
  <si>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</si>
  <si>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</si>
  <si>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</si>
  <si>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</si>
  <si>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</si>
  <si>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</si>
  <si>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</si>
  <si>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</si>
  <si>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</si>
  <si>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</si>
  <si>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</si>
  <si>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</si>
  <si>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</si>
  <si>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</si>
  <si>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</si>
  <si>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</si>
  <si>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</si>
  <si>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</si>
  <si>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</si>
  <si>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</si>
  <si>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</si>
  <si>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</si>
  <si>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</si>
  <si>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</si>
  <si>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</si>
  <si>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</si>
  <si>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</si>
  <si>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</si>
  <si>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</si>
  <si>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</si>
  <si>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</si>
  <si>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</si>
  <si>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</si>
  <si>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</si>
  <si>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</si>
  <si>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</si>
  <si>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</si>
  <si>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</si>
  <si>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</si>
  <si>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</si>
  <si>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</si>
  <si>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</si>
  <si>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</si>
  <si>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</si>
  <si>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</si>
  <si>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</si>
  <si>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</si>
  <si>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</si>
  <si>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</si>
  <si>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</si>
  <si>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</si>
  <si>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</si>
  <si>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</si>
  <si>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</si>
  <si>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</si>
  <si>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</si>
  <si>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</si>
  <si>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</si>
  <si>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</si>
  <si>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</si>
  <si>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</si>
  <si>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</si>
  <si>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</si>
  <si>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</si>
  <si>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</si>
  <si>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</si>
  <si>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</si>
  <si>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</si>
  <si>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</si>
  <si>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</si>
  <si>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</si>
  <si>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</si>
  <si>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</si>
  <si>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</si>
  <si>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</si>
  <si>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</si>
  <si>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</si>
  <si>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</si>
  <si>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</si>
  <si>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</si>
  <si>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</si>
  <si>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</si>
  <si>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</si>
  <si>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</si>
  <si>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</si>
  <si>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</si>
  <si>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</si>
  <si>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</si>
  <si>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</si>
  <si>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</si>
  <si>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</si>
  <si>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</si>
  <si>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</si>
  <si>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</si>
  <si>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</si>
  <si>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</si>
  <si>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</si>
  <si>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</si>
  <si>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</si>
  <si>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</si>
  <si>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</si>
  <si>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</si>
  <si>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</si>
  <si>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</si>
  <si>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</si>
  <si>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</si>
  <si>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</si>
  <si>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</si>
  <si>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</si>
  <si>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</si>
  <si>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</si>
  <si>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</si>
  <si>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</si>
  <si>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</si>
  <si>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</si>
  <si>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</si>
  <si>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</si>
  <si>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</si>
  <si>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</si>
  <si>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</si>
  <si>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</si>
  <si>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</si>
  <si>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</si>
  <si>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</si>
  <si>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</si>
  <si>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</si>
  <si>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</si>
  <si>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</si>
  <si>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</si>
  <si>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</si>
  <si>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</si>
  <si>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</si>
  <si>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</si>
  <si>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</si>
  <si>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</si>
  <si>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</si>
  <si>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</si>
  <si>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</si>
  <si>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</si>
  <si>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</si>
  <si>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</si>
  <si>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</si>
  <si>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</si>
  <si>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</si>
  <si>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</si>
  <si>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</si>
  <si>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</si>
  <si>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</si>
  <si>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</si>
  <si>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</si>
  <si>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</si>
  <si>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</si>
  <si>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</si>
  <si>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</si>
  <si>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</si>
  <si>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</si>
  <si>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</si>
  <si>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</si>
  <si>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</si>
  <si>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</si>
  <si>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</si>
  <si>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</si>
  <si>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</si>
  <si>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</si>
  <si>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</si>
  <si>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</si>
  <si>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</si>
  <si>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</si>
  <si>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</si>
  <si>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</si>
  <si>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</si>
  <si>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</si>
  <si>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</si>
  <si>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</si>
  <si>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</si>
  <si>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</si>
  <si>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</si>
  <si>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</si>
  <si>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</si>
  <si>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</si>
  <si>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</si>
  <si>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</si>
  <si>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</si>
  <si>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</si>
  <si>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</si>
  <si>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</si>
  <si>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</si>
  <si>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</si>
  <si>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</si>
  <si>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</si>
  <si>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</si>
  <si>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</si>
  <si>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</si>
  <si>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</si>
  <si>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</si>
  <si>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</si>
  <si>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</si>
  <si>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</si>
  <si>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</si>
  <si>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</si>
  <si>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</si>
  <si>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</si>
  <si>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</si>
  <si>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</si>
  <si>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</si>
  <si>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</si>
  <si>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</si>
  <si>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</si>
  <si>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</si>
  <si>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</si>
  <si>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</si>
  <si>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</si>
  <si>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</si>
  <si>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</si>
  <si>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</si>
  <si>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</si>
  <si>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</si>
  <si>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</si>
  <si>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</si>
  <si>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</si>
  <si>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</si>
  <si>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</si>
  <si>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</si>
  <si>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</si>
  <si>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</si>
  <si>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</si>
  <si>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</si>
  <si>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</si>
  <si>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</si>
  <si>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</si>
  <si>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</si>
  <si>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</si>
  <si>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</si>
  <si>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</si>
  <si>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</si>
  <si>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</si>
  <si>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</si>
  <si>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</si>
  <si>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</si>
  <si>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</si>
  <si>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</si>
  <si>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</si>
  <si>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</si>
  <si>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</si>
  <si>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</si>
  <si>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</si>
  <si>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</si>
  <si>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</si>
  <si>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</si>
  <si>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</si>
  <si>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</si>
  <si>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</si>
  <si>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</si>
  <si>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</si>
  <si>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</si>
  <si>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</si>
  <si>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</si>
  <si>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</si>
  <si>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</si>
  <si>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</si>
  <si>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</si>
  <si>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</si>
  <si>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</si>
  <si>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</si>
  <si>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</si>
  <si>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</si>
  <si>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</si>
  <si>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</si>
  <si>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</si>
  <si>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</si>
  <si>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</si>
  <si>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</si>
  <si>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</si>
  <si>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</si>
  <si>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</si>
  <si>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</si>
  <si>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</si>
  <si>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</si>
  <si>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</si>
  <si>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</si>
  <si>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</si>
  <si>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</si>
  <si>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</si>
  <si>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</si>
  <si>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</si>
  <si>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</si>
  <si>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</si>
  <si>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</si>
  <si>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</si>
  <si>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</si>
  <si>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</si>
  <si>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</si>
  <si>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</si>
  <si>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</si>
  <si>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</si>
  <si>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</si>
  <si>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</si>
  <si>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</si>
  <si>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</si>
  <si>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</si>
  <si>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</si>
  <si>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</si>
  <si>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</si>
  <si>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</si>
  <si>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</si>
  <si>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</si>
  <si>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</si>
  <si>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</si>
  <si>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</si>
  <si>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</si>
  <si>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</si>
  <si>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</si>
  <si>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</si>
  <si>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</si>
  <si>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</si>
  <si>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</si>
  <si>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</si>
  <si>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</si>
  <si>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</si>
  <si>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</si>
  <si>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</si>
  <si>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</si>
  <si>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</si>
  <si>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</si>
  <si>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</si>
  <si>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</si>
  <si>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</si>
  <si>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</si>
  <si>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</si>
  <si>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</si>
  <si>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</si>
  <si>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</si>
  <si>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</si>
  <si>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</si>
  <si>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</si>
  <si>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</si>
  <si>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</si>
  <si>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</si>
  <si>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</si>
  <si>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</si>
  <si>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</si>
  <si>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</si>
  <si>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</si>
  <si>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</si>
  <si>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</si>
  <si>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</si>
  <si>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</si>
  <si>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</si>
  <si>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</si>
  <si>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</si>
  <si>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</si>
  <si>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</si>
  <si>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</si>
  <si>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</si>
  <si>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</si>
  <si>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</si>
  <si>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</si>
  <si>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</si>
  <si>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</si>
  <si>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</si>
  <si>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</si>
  <si>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</si>
  <si>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</si>
  <si>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</si>
  <si>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</si>
  <si>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</si>
  <si>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</si>
  <si>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</si>
  <si>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</si>
  <si>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</si>
  <si>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</si>
  <si>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</si>
  <si>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</si>
  <si>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</si>
  <si>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</si>
  <si>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</si>
  <si>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</si>
  <si>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</si>
  <si>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</si>
  <si>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</si>
  <si>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</si>
  <si>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</si>
  <si>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</si>
  <si>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</si>
  <si>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</si>
  <si>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</si>
  <si>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</si>
  <si>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</si>
  <si>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</si>
  <si>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</si>
  <si>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</si>
  <si>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</si>
  <si>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</si>
  <si>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</si>
  <si>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</si>
  <si>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</si>
  <si>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</si>
  <si>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</si>
  <si>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</si>
  <si>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</si>
  <si>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</si>
  <si>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</si>
  <si>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</si>
  <si>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</si>
  <si>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</si>
  <si>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</si>
  <si>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</si>
  <si>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</si>
  <si>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</si>
  <si>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</si>
  <si>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</si>
  <si>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</si>
  <si>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</si>
  <si>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</si>
  <si>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</si>
  <si>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</si>
  <si>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</si>
  <si>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</si>
  <si>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</si>
  <si>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</si>
  <si>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</si>
  <si>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</si>
  <si>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</si>
  <si>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</si>
  <si>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</si>
  <si>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</si>
  <si>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</si>
  <si>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</si>
  <si>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</si>
  <si>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</si>
  <si>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</si>
  <si>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</si>
  <si>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</si>
  <si>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</si>
  <si>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</si>
  <si>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</si>
  <si>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</si>
  <si>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</si>
  <si>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</si>
  <si>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</si>
  <si>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</si>
  <si>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</si>
  <si>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</si>
  <si>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</si>
  <si>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</si>
  <si>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</si>
  <si>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</si>
  <si>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</si>
  <si>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</si>
  <si>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</si>
  <si>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</si>
  <si>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</si>
  <si>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</si>
  <si>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</si>
  <si>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</si>
  <si>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</si>
  <si>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</si>
  <si>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</si>
  <si>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</si>
  <si>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</si>
  <si>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</si>
  <si>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</si>
  <si>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</si>
  <si>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</si>
  <si>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</si>
  <si>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</si>
  <si>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</si>
  <si>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</si>
  <si>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</si>
  <si>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</si>
  <si>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</si>
  <si>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</si>
  <si>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</si>
  <si>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</si>
  <si>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</si>
  <si>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</si>
  <si>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</si>
  <si>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</si>
  <si>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</si>
  <si>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</si>
  <si>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</si>
  <si>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</si>
  <si>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</si>
  <si>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</si>
  <si>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</si>
  <si>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</si>
  <si>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</si>
  <si>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</si>
  <si>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</si>
  <si>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</si>
  <si>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</si>
  <si>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</si>
  <si>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</si>
  <si>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</si>
  <si>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</si>
  <si>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</si>
  <si>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</si>
  <si>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</si>
  <si>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</si>
  <si>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</si>
  <si>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</si>
  <si>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</si>
  <si>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</si>
  <si>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</si>
  <si>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</si>
  <si>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</si>
  <si>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</si>
  <si>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</si>
  <si>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</si>
  <si>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</si>
  <si>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</si>
  <si>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</si>
  <si>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</si>
  <si>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</si>
  <si>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</si>
  <si>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</si>
  <si>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</si>
  <si>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</si>
  <si>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</si>
  <si>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</si>
  <si>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</si>
  <si>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</si>
  <si>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</si>
  <si>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</si>
  <si>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</si>
  <si>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</si>
  <si>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</si>
  <si>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</si>
  <si>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</si>
  <si>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</si>
  <si>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</si>
  <si>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</si>
  <si>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</si>
  <si>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</si>
  <si>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</si>
  <si>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</si>
  <si>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</si>
  <si>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</si>
  <si>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</si>
  <si>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</si>
  <si>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</si>
  <si>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</si>
  <si>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</si>
  <si>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</si>
  <si>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</si>
  <si>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</si>
  <si>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</si>
  <si>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</si>
  <si>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</si>
  <si>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</si>
  <si>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</si>
  <si>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</si>
  <si>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</si>
  <si>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</si>
  <si>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</si>
  <si>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</si>
  <si>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</si>
  <si>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</si>
  <si>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</si>
  <si>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</si>
  <si>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</si>
  <si>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</si>
  <si>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</si>
  <si>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</si>
  <si>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</si>
  <si>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</si>
  <si>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</si>
  <si>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</si>
  <si>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</si>
  <si>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</si>
  <si>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</si>
  <si>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</si>
  <si>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</si>
  <si>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</si>
  <si>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</si>
  <si>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</si>
  <si>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</si>
  <si>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</si>
  <si>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</si>
  <si>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</si>
  <si>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</si>
  <si>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</si>
  <si>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</si>
  <si>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</si>
  <si>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</si>
  <si>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</si>
  <si>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</si>
  <si>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</si>
  <si>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</si>
  <si>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</si>
  <si>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</si>
  <si>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</si>
  <si>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</si>
  <si>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</si>
  <si>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</si>
  <si>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</si>
  <si>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</si>
  <si>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</si>
  <si>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</si>
  <si>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</si>
  <si>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</si>
  <si>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</si>
  <si>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</si>
  <si>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</si>
  <si>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</si>
  <si>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</si>
  <si>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</si>
  <si>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</si>
  <si>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</si>
  <si>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</si>
  <si>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</si>
  <si>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</si>
  <si>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</si>
  <si>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</si>
  <si>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</si>
  <si>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</si>
  <si>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</si>
  <si>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</si>
  <si>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</si>
  <si>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</si>
  <si>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</si>
  <si>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</si>
  <si>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</si>
  <si>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</si>
  <si>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</si>
  <si>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</si>
  <si>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</si>
  <si>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</si>
  <si>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</si>
  <si>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</si>
  <si>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</si>
  <si>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</si>
  <si>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</si>
  <si>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</si>
  <si>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</si>
  <si>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</si>
  <si>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</si>
  <si>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</si>
  <si>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</si>
  <si>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</si>
  <si>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</si>
  <si>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</si>
  <si>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</si>
  <si>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</si>
  <si>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</si>
  <si>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</si>
  <si>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</si>
  <si>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</si>
  <si>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</si>
  <si>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</si>
  <si>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</si>
  <si>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</si>
  <si>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</si>
  <si>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</si>
  <si>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</si>
  <si>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</si>
  <si>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</si>
  <si>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</si>
  <si>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</si>
  <si>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</si>
  <si>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</si>
  <si>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</si>
  <si>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</si>
  <si>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</si>
  <si>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</si>
  <si>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</si>
  <si>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</si>
  <si>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</si>
  <si>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</si>
  <si>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</si>
  <si>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</si>
  <si>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</si>
  <si>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</si>
  <si>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</si>
  <si>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</si>
  <si>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</si>
  <si>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</si>
  <si>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</si>
  <si>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</si>
  <si>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</si>
  <si>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</si>
  <si>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</si>
  <si>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</si>
  <si>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</si>
  <si>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</si>
  <si>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</si>
  <si>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</si>
  <si>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</si>
  <si>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</si>
  <si>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</si>
  <si>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</si>
  <si>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</si>
  <si>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</si>
  <si>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</si>
  <si>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</si>
  <si>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</si>
  <si>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</si>
  <si>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</si>
  <si>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</si>
  <si>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</si>
  <si>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</si>
  <si>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</si>
  <si>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</si>
  <si>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</si>
  <si>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</si>
  <si>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</si>
  <si>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</si>
  <si>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</si>
  <si>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</si>
  <si>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</si>
  <si>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</si>
  <si>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</si>
  <si>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</si>
  <si>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</si>
  <si>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</si>
  <si>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</si>
  <si>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</si>
  <si>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</si>
  <si>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</si>
  <si>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</si>
  <si>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</si>
  <si>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</si>
  <si>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</si>
  <si>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</si>
  <si>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</si>
  <si>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</si>
  <si>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</si>
  <si>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</si>
  <si>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</si>
  <si>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</si>
  <si>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</si>
  <si>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</si>
  <si>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</si>
  <si>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</si>
  <si>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</si>
  <si>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</si>
  <si>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</si>
  <si>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</si>
  <si>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</si>
  <si>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</si>
  <si>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</si>
  <si>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</si>
  <si>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</si>
  <si>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</si>
  <si>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</si>
  <si>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</si>
  <si>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</si>
  <si>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</si>
  <si>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</si>
  <si>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</si>
  <si>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</si>
  <si>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</si>
  <si>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</si>
  <si>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</si>
  <si>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</si>
  <si>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</si>
  <si>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</si>
  <si>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</si>
  <si>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</si>
  <si>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</si>
  <si>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</si>
  <si>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</si>
  <si>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</si>
  <si>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</si>
  <si>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</si>
  <si>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</si>
  <si>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</si>
  <si>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</si>
  <si>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</si>
  <si>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</si>
  <si>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</si>
  <si>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</si>
  <si>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</si>
  <si>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</si>
  <si>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</si>
  <si>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</si>
  <si>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</si>
  <si>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</si>
  <si>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</si>
  <si>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</si>
  <si>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</si>
  <si>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</si>
  <si>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</si>
  <si>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</si>
  <si>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</si>
  <si>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</si>
  <si>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</si>
  <si>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</si>
  <si>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</si>
  <si>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</si>
  <si>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</si>
  <si>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</si>
  <si>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</si>
  <si>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</si>
  <si>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</si>
  <si>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</si>
  <si>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</si>
  <si>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</si>
  <si>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</si>
  <si>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</si>
  <si>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</si>
  <si>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</si>
  <si>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</si>
  <si>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</si>
  <si>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</si>
  <si>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</si>
  <si>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</si>
  <si>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</si>
  <si>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</si>
  <si>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</si>
  <si>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</si>
  <si>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</si>
  <si>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</si>
  <si>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</si>
  <si>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</si>
  <si>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</si>
  <si>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</si>
  <si>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</si>
  <si>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</si>
  <si>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</si>
  <si>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</si>
  <si>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</si>
  <si>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</si>
  <si>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</si>
  <si>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</si>
  <si>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</si>
  <si>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</si>
  <si>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</si>
  <si>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</si>
  <si>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</si>
  <si>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</si>
  <si>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</si>
  <si>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</si>
  <si>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</si>
  <si>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</si>
  <si>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</si>
  <si>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</si>
  <si>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</si>
  <si>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</si>
  <si>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</si>
  <si>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</si>
  <si>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</si>
  <si>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</si>
  <si>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</si>
  <si>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</si>
  <si>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</si>
  <si>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</si>
  <si>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</si>
  <si>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</si>
  <si>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</si>
  <si>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</si>
  <si>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</si>
  <si>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</si>
  <si>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</si>
  <si>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</si>
  <si>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</si>
  <si>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</si>
  <si>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</si>
  <si>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</si>
  <si>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</si>
  <si>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</si>
  <si>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</si>
  <si>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</si>
  <si>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</si>
  <si>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</si>
  <si>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</si>
  <si>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</si>
  <si>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</si>
  <si>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</si>
  <si>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</si>
  <si>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</si>
  <si>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</si>
  <si>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</si>
  <si>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</si>
  <si>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</si>
  <si>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</si>
  <si>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</si>
  <si>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</si>
  <si>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</si>
  <si>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</si>
  <si>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</si>
  <si>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</si>
  <si>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</si>
  <si>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</si>
  <si>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</si>
  <si>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</si>
  <si>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</si>
  <si>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</si>
  <si>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</si>
  <si>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</si>
  <si>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</si>
  <si>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</si>
  <si>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</si>
  <si>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</si>
  <si>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</si>
  <si>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</si>
  <si>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</si>
  <si>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</si>
  <si>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</si>
  <si>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</si>
  <si>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</si>
  <si>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</si>
  <si>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</si>
  <si>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</si>
  <si>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</si>
  <si>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</si>
  <si>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</si>
  <si>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</si>
  <si>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</si>
  <si>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</si>
  <si>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</si>
  <si>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</si>
  <si>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</si>
  <si>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</si>
  <si>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</si>
  <si>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</si>
  <si>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</si>
  <si>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</si>
  <si>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</si>
  <si>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</si>
  <si>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</si>
  <si>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</si>
  <si>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</si>
  <si>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</si>
  <si>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</si>
  <si>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</si>
  <si>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</si>
  <si>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</si>
  <si>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</si>
  <si>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</si>
  <si>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</si>
  <si>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</si>
  <si>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</si>
  <si>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</si>
  <si>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</si>
  <si>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</si>
  <si>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</si>
  <si>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</si>
  <si>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</si>
  <si>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</si>
  <si>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</si>
  <si>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</si>
  <si>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</si>
  <si>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</si>
  <si>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</si>
  <si>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</si>
  <si>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</si>
  <si>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</si>
  <si>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</si>
  <si>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</si>
  <si>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</si>
  <si>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</si>
  <si>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</si>
  <si>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</si>
  <si>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</si>
  <si>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</si>
  <si>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</si>
  <si>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</si>
  <si>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</si>
  <si>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</si>
  <si>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</si>
  <si>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</si>
  <si>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</si>
  <si>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</si>
  <si>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</si>
  <si>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</si>
  <si>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</si>
  <si>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</si>
  <si>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</si>
  <si>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</si>
  <si>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</si>
  <si>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</si>
  <si>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</si>
  <si>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</si>
  <si>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</si>
  <si>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</si>
  <si>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</si>
  <si>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</si>
  <si>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</si>
  <si>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</si>
  <si>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</si>
  <si>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</si>
  <si>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</si>
  <si>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</si>
  <si>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</si>
  <si>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</si>
  <si>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</si>
  <si>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</si>
  <si>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</si>
  <si>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</si>
  <si>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</si>
  <si>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</si>
  <si>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</si>
  <si>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</si>
  <si>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</si>
  <si>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</si>
  <si>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</si>
  <si>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</si>
  <si>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</si>
  <si>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</si>
  <si>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</si>
  <si>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</si>
  <si>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</si>
  <si>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</si>
  <si>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</si>
  <si>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</si>
  <si>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</si>
  <si>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</si>
  <si>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</si>
  <si>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</si>
  <si>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</si>
  <si>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</si>
  <si>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</si>
  <si>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</si>
  <si>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</si>
  <si>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</si>
  <si>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</si>
  <si>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</si>
  <si>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</si>
  <si>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</si>
  <si>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</si>
  <si>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</si>
  <si>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</si>
  <si>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</si>
  <si>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</si>
  <si>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</si>
  <si>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</si>
  <si>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</si>
  <si>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</si>
  <si>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</si>
  <si>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</si>
  <si>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</si>
  <si>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</si>
  <si>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</si>
  <si>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</si>
  <si>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</si>
  <si>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</si>
  <si>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</si>
  <si>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</si>
  <si>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</si>
  <si>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</si>
  <si>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</si>
  <si>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</si>
  <si>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</si>
  <si>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</si>
  <si>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</si>
  <si>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</si>
  <si>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</si>
  <si>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</si>
  <si>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</si>
  <si>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</si>
  <si>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</si>
  <si>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</si>
  <si>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</si>
  <si>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</si>
  <si>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</si>
  <si>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</si>
  <si>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</si>
  <si>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</si>
  <si>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</si>
  <si>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</si>
  <si>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</si>
  <si>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</si>
  <si>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</si>
  <si>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</si>
  <si>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</si>
  <si>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</si>
  <si>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</si>
  <si>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</si>
  <si>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</si>
  <si>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</si>
  <si>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</si>
  <si>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</si>
  <si>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</si>
  <si>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</si>
  <si>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</si>
  <si>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</si>
  <si>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</si>
  <si>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</si>
  <si>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</si>
  <si>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</si>
  <si>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</si>
  <si>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</si>
  <si>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</si>
  <si>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</si>
  <si>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</si>
  <si>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</si>
  <si>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</si>
  <si>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</si>
  <si>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</si>
  <si>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</si>
  <si>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</si>
  <si>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</si>
  <si>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</si>
  <si>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</si>
  <si>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</si>
  <si>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</si>
  <si>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</si>
  <si>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</si>
  <si>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</si>
  <si>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</si>
  <si>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</si>
  <si>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</si>
  <si>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</si>
  <si>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</si>
  <si>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</si>
  <si>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</si>
  <si>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</si>
  <si>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</si>
  <si>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</si>
  <si>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</si>
  <si>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</si>
  <si>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</si>
  <si>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</si>
  <si>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</si>
  <si>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</si>
  <si>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</si>
  <si>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</si>
  <si>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</si>
  <si>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</si>
  <si>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</si>
  <si>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</si>
  <si>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</si>
  <si>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</si>
  <si>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</si>
  <si>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</si>
  <si>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</si>
  <si>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</si>
  <si>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</si>
  <si>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</si>
  <si>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</si>
  <si>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</si>
  <si>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</si>
  <si>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</si>
  <si>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</si>
  <si>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</si>
  <si>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</si>
  <si>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</si>
  <si>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</si>
  <si>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</si>
  <si>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</si>
  <si>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</si>
  <si>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</si>
  <si>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</si>
  <si>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</si>
  <si>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</si>
  <si>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</si>
  <si>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</si>
  <si>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</si>
  <si>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</si>
  <si>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</si>
  <si>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</si>
  <si>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</si>
  <si>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</si>
  <si>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</si>
  <si>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</si>
  <si>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</si>
  <si>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</si>
  <si>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</si>
  <si>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</si>
  <si>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</si>
  <si>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</si>
  <si>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</si>
  <si>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</si>
  <si>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</si>
  <si>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</si>
  <si>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</si>
  <si>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</si>
  <si>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</si>
  <si>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</si>
  <si>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</si>
  <si>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</si>
  <si>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</si>
  <si>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</si>
  <si>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</si>
  <si>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</si>
  <si>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</si>
  <si>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</si>
  <si>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</si>
  <si>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</si>
  <si>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</si>
  <si>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</si>
  <si>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</si>
  <si>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</si>
  <si>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</si>
  <si>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</si>
  <si>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</si>
  <si>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</si>
  <si>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</si>
  <si>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</si>
  <si>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</si>
  <si>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</si>
  <si>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</si>
  <si>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</si>
  <si>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</si>
  <si>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</si>
  <si>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</si>
  <si>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</si>
  <si>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</si>
  <si>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</si>
  <si>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</si>
  <si>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</si>
  <si>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</si>
  <si>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</si>
  <si>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</si>
  <si>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</si>
  <si>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</si>
  <si>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</si>
  <si>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</si>
  <si>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</si>
  <si>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</si>
  <si>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</si>
  <si>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</si>
  <si>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</si>
  <si>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</si>
  <si>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</si>
  <si>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</si>
  <si>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</si>
  <si>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</si>
  <si>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</si>
  <si>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</si>
  <si>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</si>
  <si>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</si>
  <si>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</si>
  <si>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</si>
  <si>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</si>
  <si>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</si>
  <si>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</si>
  <si>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</si>
  <si>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</si>
  <si>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</si>
  <si>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</si>
  <si>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</si>
  <si>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</si>
  <si>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</si>
  <si>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</si>
  <si>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</si>
  <si>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</si>
  <si>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</si>
  <si>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</si>
  <si>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</si>
  <si>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</si>
  <si>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</si>
  <si>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</si>
  <si>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</si>
  <si>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</si>
  <si>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</si>
  <si>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</si>
  <si>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</si>
  <si>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</si>
  <si>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</si>
  <si>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</si>
  <si>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</si>
  <si>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</si>
  <si>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</si>
  <si>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</si>
  <si>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</si>
  <si>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</si>
  <si>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</si>
  <si>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</si>
  <si>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</si>
  <si>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</si>
  <si>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</si>
  <si>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</si>
  <si>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</si>
  <si>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</si>
  <si>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</si>
  <si>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</si>
  <si>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</si>
  <si>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</si>
  <si>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</si>
  <si>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</si>
  <si>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</si>
  <si>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</si>
  <si>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</si>
  <si>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</si>
  <si>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</si>
  <si>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</si>
  <si>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</si>
  <si>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</si>
  <si>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</si>
  <si>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</si>
  <si>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</si>
  <si>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</si>
  <si>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</si>
  <si>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</si>
  <si>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</si>
  <si>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</si>
  <si>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</si>
  <si>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</si>
  <si>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</si>
  <si>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</si>
  <si>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</si>
  <si>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</si>
  <si>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</si>
  <si>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</si>
  <si>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</si>
  <si>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</si>
  <si>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</si>
  <si>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</si>
  <si>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</si>
  <si>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</si>
  <si>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</si>
  <si>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</si>
  <si>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</si>
  <si>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</si>
  <si>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</si>
  <si>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</si>
  <si>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</si>
  <si>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</si>
  <si>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</si>
  <si>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</si>
  <si>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</si>
  <si>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</si>
  <si>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</si>
  <si>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</si>
  <si>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</si>
  <si>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</si>
  <si>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</si>
  <si>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</si>
  <si>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</si>
  <si>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</si>
  <si>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</si>
  <si>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</si>
  <si>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</si>
  <si>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</si>
  <si>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</si>
  <si>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</si>
  <si>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</si>
  <si>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</si>
  <si>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</si>
  <si>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</si>
  <si>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</si>
  <si>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</si>
  <si>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</si>
  <si>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</si>
  <si>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</si>
  <si>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</si>
  <si>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</si>
  <si>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</si>
  <si>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</si>
  <si>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</si>
  <si>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</si>
  <si>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</si>
  <si>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</si>
  <si>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</si>
  <si>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</si>
  <si>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</si>
  <si>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</si>
  <si>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</si>
  <si>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</si>
  <si>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</si>
  <si>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</si>
  <si>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</si>
  <si>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</si>
  <si>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</si>
  <si>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</si>
  <si>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</si>
  <si>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</si>
  <si>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</si>
  <si>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</si>
  <si>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</si>
  <si>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</si>
  <si>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</si>
  <si>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</si>
  <si>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</si>
  <si>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</si>
  <si>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</si>
  <si>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</si>
  <si>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</si>
  <si>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</si>
  <si>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</si>
  <si>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</si>
  <si>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</si>
  <si>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</si>
  <si>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</si>
  <si>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</si>
  <si>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</si>
  <si>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</si>
  <si>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</si>
  <si>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</si>
  <si>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</si>
  <si>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</si>
  <si>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</si>
  <si>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</si>
  <si>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</si>
  <si>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</si>
  <si>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</si>
  <si>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</si>
  <si>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</si>
  <si>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</si>
  <si>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</si>
  <si>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</si>
  <si>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</si>
  <si>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</si>
  <si>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</si>
  <si>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</si>
  <si>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</si>
  <si>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</si>
  <si>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</si>
  <si>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</si>
  <si>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</si>
  <si>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</si>
  <si>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</si>
  <si>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</si>
  <si>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</si>
  <si>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</si>
  <si>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</si>
  <si>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</si>
  <si>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</si>
  <si>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</si>
  <si>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</si>
  <si>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</si>
  <si>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</si>
  <si>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</si>
  <si>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</si>
  <si>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</si>
  <si>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</si>
  <si>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</si>
  <si>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</si>
  <si>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</si>
  <si>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</si>
  <si>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</si>
  <si>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</si>
  <si>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</si>
  <si>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</si>
  <si>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</si>
  <si>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</si>
  <si>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</si>
  <si>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</si>
  <si>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</si>
  <si>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</si>
  <si>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</si>
  <si>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</si>
  <si>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</si>
  <si>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</si>
  <si>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</si>
  <si>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</si>
  <si>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</si>
  <si>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</si>
  <si>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</si>
  <si>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</si>
  <si>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</si>
  <si>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</si>
  <si>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</si>
  <si>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</si>
  <si>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</si>
  <si>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</si>
  <si>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</si>
  <si>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</si>
  <si>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</si>
  <si>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</si>
  <si>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</si>
  <si>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</si>
  <si>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</si>
  <si>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</si>
  <si>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</si>
  <si>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</si>
  <si>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</si>
  <si>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</si>
  <si>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</si>
  <si>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</si>
  <si>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</si>
  <si>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</si>
  <si>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</si>
  <si>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</si>
  <si>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</si>
  <si>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</si>
  <si>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</si>
  <si>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</si>
  <si>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</si>
  <si>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</si>
  <si>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</si>
  <si>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</si>
  <si>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</si>
  <si>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</si>
  <si>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</si>
  <si>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</si>
  <si>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</si>
  <si>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</si>
  <si>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</si>
  <si>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</si>
  <si>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</si>
  <si>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</si>
  <si>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</si>
  <si>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</si>
  <si>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</si>
  <si>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</si>
  <si>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</si>
  <si>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</si>
  <si>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</si>
  <si>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</si>
  <si>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</si>
  <si>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</si>
  <si>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</si>
  <si>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</si>
  <si>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</si>
  <si>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</si>
  <si>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</si>
  <si>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</si>
  <si>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</si>
  <si>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</si>
  <si>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</si>
  <si>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</si>
  <si>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</si>
  <si>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</si>
  <si>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</si>
  <si>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</si>
  <si>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</si>
  <si>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</si>
  <si>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</si>
  <si>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</si>
  <si>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</si>
  <si>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</si>
  <si>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</si>
  <si>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</si>
  <si>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</si>
  <si>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</si>
  <si>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</si>
  <si>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</si>
  <si>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</si>
  <si>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</si>
  <si>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</si>
  <si>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</si>
  <si>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</si>
  <si>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</si>
  <si>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</si>
  <si>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</si>
  <si>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</si>
  <si>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</si>
  <si>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</si>
  <si>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</si>
  <si>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</si>
  <si>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</si>
  <si>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</si>
  <si>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</si>
  <si>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</si>
  <si>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</si>
  <si>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</si>
  <si>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</si>
  <si>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</si>
  <si>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</si>
  <si>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</si>
  <si>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</si>
  <si>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</si>
  <si>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</si>
  <si>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</si>
  <si>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</si>
  <si>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</si>
  <si>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</si>
  <si>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</si>
  <si>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</si>
  <si>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</si>
  <si>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</si>
  <si>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</si>
  <si>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</si>
  <si>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</si>
  <si>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</si>
  <si>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</si>
  <si>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</si>
  <si>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</si>
  <si>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</si>
  <si>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</si>
  <si>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</si>
  <si>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</si>
  <si>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</si>
  <si>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</si>
  <si>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</si>
  <si>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</si>
  <si>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</si>
  <si>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</si>
  <si>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</si>
  <si>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</si>
  <si>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</si>
  <si>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</si>
  <si>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</si>
  <si>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</si>
  <si>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</si>
  <si>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</si>
  <si>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</si>
  <si>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</si>
  <si>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</si>
  <si>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</si>
  <si>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</si>
  <si>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</si>
  <si>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</si>
  <si>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</si>
  <si>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</si>
  <si>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</si>
  <si>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</si>
  <si>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</si>
  <si>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</si>
  <si>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</si>
  <si>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</si>
  <si>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</si>
  <si>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</si>
  <si>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</si>
  <si>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</si>
  <si>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</si>
  <si>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</si>
  <si>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</si>
  <si>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</si>
  <si>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</si>
  <si>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</si>
  <si>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</si>
  <si>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</si>
  <si>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</si>
  <si>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</si>
  <si>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</si>
  <si>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</si>
  <si>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</si>
  <si>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</si>
  <si>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</si>
  <si>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</si>
  <si>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</si>
  <si>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</si>
  <si>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</si>
  <si>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</si>
  <si>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</si>
  <si>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</si>
  <si>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</si>
  <si>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</si>
  <si>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</si>
  <si>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</si>
  <si>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</si>
  <si>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</si>
  <si>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</si>
  <si>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</si>
  <si>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</si>
  <si>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</si>
  <si>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</si>
  <si>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</si>
  <si>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</si>
  <si>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</si>
  <si>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</si>
  <si>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</si>
  <si>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</si>
  <si>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</si>
  <si>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</si>
  <si>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</si>
  <si>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</si>
  <si>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</si>
  <si>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</si>
  <si>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</si>
  <si>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</si>
  <si>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</si>
  <si>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</si>
  <si>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</si>
  <si>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</si>
  <si>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</si>
  <si>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</si>
  <si>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</si>
  <si>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</si>
  <si>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</si>
  <si>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</si>
  <si>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</si>
  <si>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</si>
  <si>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</si>
  <si>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</si>
  <si>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</si>
  <si>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</si>
  <si>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</si>
  <si>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</si>
  <si>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</si>
  <si>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</si>
  <si>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</si>
  <si>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</si>
  <si>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</si>
  <si>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</si>
  <si>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</si>
  <si>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</si>
  <si>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</si>
  <si>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</si>
  <si>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</si>
  <si>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</si>
  <si>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</si>
  <si>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</si>
  <si>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</si>
  <si>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</si>
  <si>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</si>
  <si>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</si>
  <si>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</si>
  <si>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</si>
  <si>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</si>
  <si>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</si>
  <si>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</si>
  <si>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</si>
  <si>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</si>
  <si>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</si>
  <si>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</si>
  <si>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</si>
  <si>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</si>
  <si>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</si>
  <si>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</si>
  <si>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</si>
  <si>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</si>
  <si>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</si>
  <si>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</si>
  <si>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</si>
  <si>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</si>
  <si>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</si>
  <si>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</si>
  <si>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</si>
  <si>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</si>
  <si>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</si>
  <si>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</si>
  <si>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</si>
  <si>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</si>
  <si>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</si>
  <si>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</si>
  <si>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</si>
  <si>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</si>
  <si>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</si>
  <si>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</si>
  <si>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</si>
  <si>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</si>
  <si>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</si>
  <si>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</si>
  <si>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</si>
  <si>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</si>
  <si>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</si>
  <si>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</si>
  <si>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</si>
  <si>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</si>
  <si>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</si>
  <si>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</si>
  <si>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</si>
  <si>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</si>
  <si>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</si>
  <si>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</si>
  <si>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</si>
  <si>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</si>
  <si>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</si>
  <si>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</si>
  <si>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</si>
  <si>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</si>
  <si>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</si>
  <si>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</si>
  <si>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</si>
  <si>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</si>
  <si>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</si>
  <si>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</si>
  <si>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</si>
  <si>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</si>
  <si>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</si>
  <si>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</si>
  <si>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</si>
  <si>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</si>
  <si>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</si>
  <si>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</si>
  <si>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</si>
  <si>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</si>
  <si>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</si>
  <si>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</si>
  <si>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</si>
  <si>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</si>
  <si>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</si>
  <si>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</si>
  <si>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</si>
  <si>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</si>
  <si>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</si>
  <si>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</si>
  <si>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</si>
  <si>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</si>
  <si>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</si>
  <si>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</si>
  <si>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</si>
  <si>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</si>
  <si>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</si>
  <si>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</si>
  <si>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</si>
  <si>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</si>
  <si>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</si>
  <si>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</si>
  <si>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</si>
  <si>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</si>
  <si>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</si>
  <si>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</si>
  <si>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</si>
  <si>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</si>
  <si>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</si>
  <si>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</si>
  <si>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</si>
  <si>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</si>
  <si>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</si>
  <si>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</si>
  <si>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</si>
  <si>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</si>
  <si>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</si>
  <si>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</si>
  <si>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</si>
  <si>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</si>
  <si>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</si>
  <si>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</si>
  <si>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</si>
  <si>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</si>
  <si>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</si>
  <si>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</si>
  <si>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</si>
  <si>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</si>
  <si>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</si>
  <si>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</si>
  <si>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</si>
  <si>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</si>
  <si>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</si>
  <si>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</si>
  <si>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</si>
  <si>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</si>
  <si>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</si>
  <si>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</si>
  <si>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</si>
  <si>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</si>
  <si>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</si>
  <si>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</si>
  <si>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</si>
  <si>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</si>
  <si>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</si>
  <si>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</si>
  <si>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</si>
  <si>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</si>
  <si>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</si>
  <si>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</si>
  <si>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</si>
  <si>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</si>
  <si>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</si>
  <si>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</si>
  <si>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</si>
  <si>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</si>
  <si>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</si>
  <si>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</si>
  <si>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</si>
  <si>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</si>
  <si>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</si>
  <si>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</si>
  <si>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</si>
  <si>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</si>
  <si>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</si>
  <si>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</si>
  <si>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</si>
  <si>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</si>
  <si>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</si>
  <si>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</si>
  <si>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</si>
  <si>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</si>
  <si>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</si>
  <si>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</si>
  <si>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</si>
  <si>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</si>
  <si>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</si>
  <si>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</si>
  <si>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</si>
  <si>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</si>
  <si>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</si>
  <si>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</si>
  <si>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</si>
  <si>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</si>
  <si>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</si>
  <si>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</si>
  <si>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</si>
  <si>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</si>
  <si>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</si>
  <si>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</si>
  <si>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</si>
  <si>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</si>
  <si>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</si>
  <si>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</si>
  <si>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</si>
  <si>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</si>
  <si>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</si>
  <si>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</si>
  <si>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</si>
  <si>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</si>
  <si>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</si>
  <si>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</si>
  <si>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</si>
  <si>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</si>
  <si>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</si>
  <si>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</si>
  <si>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</si>
  <si>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</si>
  <si>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</si>
  <si>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</si>
  <si>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</si>
  <si>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</si>
  <si>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</si>
  <si>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</si>
  <si>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</si>
  <si>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</si>
  <si>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</si>
  <si>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</si>
  <si>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</si>
  <si>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</si>
  <si>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</si>
  <si>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</si>
  <si>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</si>
  <si>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</si>
  <si>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</si>
  <si>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</si>
  <si>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</si>
  <si>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</si>
  <si>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</si>
  <si>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</si>
  <si>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</si>
  <si>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</si>
  <si>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</si>
  <si>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</si>
  <si>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</si>
  <si>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</si>
  <si>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</si>
  <si>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</si>
  <si>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</si>
  <si>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</si>
  <si>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</si>
  <si>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</si>
  <si>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</si>
  <si>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</si>
  <si>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</si>
  <si>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</si>
  <si>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</si>
  <si>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</si>
  <si>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</si>
  <si>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</si>
  <si>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</si>
  <si>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</si>
  <si>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</si>
  <si>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</si>
  <si>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</si>
  <si>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</si>
  <si>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</si>
  <si>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</si>
  <si>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</si>
  <si>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</si>
  <si>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</si>
  <si>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</si>
  <si>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</si>
  <si>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</si>
  <si>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</si>
  <si>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</si>
  <si>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</si>
  <si>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</si>
  <si>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</si>
  <si>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</si>
  <si>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</si>
  <si>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</si>
  <si>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</si>
  <si>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</si>
  <si>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</si>
  <si>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</si>
  <si>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</si>
  <si>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</si>
  <si>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</si>
  <si>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</si>
  <si>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</si>
  <si>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</si>
  <si>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</si>
  <si>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</si>
  <si>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</si>
  <si>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</si>
  <si>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</si>
  <si>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</si>
  <si>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</si>
  <si>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</si>
  <si>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</si>
  <si>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</si>
  <si>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</si>
  <si>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</si>
  <si>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</si>
  <si>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</si>
  <si>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</si>
  <si>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</si>
  <si>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</si>
  <si>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</si>
  <si>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</si>
  <si>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</si>
  <si>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</si>
  <si>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</si>
  <si>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</si>
  <si>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</si>
  <si>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</si>
  <si>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</si>
  <si>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</si>
  <si>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</si>
  <si>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</si>
  <si>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</si>
  <si>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</si>
  <si>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</si>
  <si>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</si>
  <si>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</si>
  <si>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</si>
  <si>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</si>
  <si>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</si>
  <si>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</si>
  <si>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</si>
  <si>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</si>
  <si>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</si>
  <si>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</si>
  <si>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</si>
  <si>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</si>
  <si>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</si>
  <si>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</si>
  <si>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</si>
  <si>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</si>
  <si>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</si>
  <si>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</si>
  <si>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</si>
  <si>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</si>
  <si>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</si>
  <si>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</si>
  <si>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</si>
  <si>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</si>
  <si>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</si>
  <si>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</si>
  <si>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</si>
  <si>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</si>
  <si>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</si>
  <si>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</si>
  <si>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</si>
  <si>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</si>
  <si>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</si>
  <si>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</si>
  <si>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</si>
  <si>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</si>
  <si>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</si>
  <si>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</si>
  <si>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</si>
  <si>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</si>
  <si>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</si>
  <si>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</si>
  <si>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</si>
  <si>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</si>
  <si>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</si>
  <si>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</si>
  <si>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</si>
  <si>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</si>
  <si>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</si>
  <si>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</si>
  <si>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</si>
  <si>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</si>
  <si>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</si>
  <si>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</si>
  <si>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</si>
  <si>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</si>
  <si>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</si>
  <si>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</si>
  <si>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</si>
  <si>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</si>
  <si>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</si>
  <si>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</si>
  <si>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</si>
  <si>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</si>
  <si>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</si>
  <si>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</si>
  <si>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</si>
  <si>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</si>
  <si>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</si>
  <si>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</si>
  <si>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</si>
  <si>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</si>
  <si>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</si>
  <si>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</si>
  <si>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</si>
  <si>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</si>
  <si>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</si>
  <si>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</si>
  <si>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</si>
  <si>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</si>
  <si>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</si>
  <si>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</si>
  <si>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</si>
  <si>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</si>
  <si>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</si>
  <si>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</si>
  <si>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</si>
  <si>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</si>
  <si>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</si>
  <si>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</si>
  <si>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</si>
  <si>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</si>
  <si>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</si>
  <si>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</si>
  <si>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</si>
  <si>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</si>
  <si>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</si>
  <si>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</si>
  <si>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</si>
  <si>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</si>
  <si>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</si>
  <si>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</si>
  <si>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</si>
  <si>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</si>
  <si>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</si>
  <si>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</si>
  <si>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</si>
  <si>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</si>
  <si>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</si>
  <si>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</si>
  <si>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</si>
  <si>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</si>
  <si>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</si>
  <si>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</si>
  <si>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</si>
  <si>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</si>
  <si>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</si>
  <si>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</si>
  <si>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</si>
  <si>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</si>
  <si>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</si>
  <si>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</si>
  <si>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</si>
  <si>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</si>
  <si>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</si>
  <si>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</si>
  <si>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</si>
  <si>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</si>
  <si>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</si>
  <si>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</si>
  <si>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</si>
  <si>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</si>
  <si>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</si>
  <si>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</si>
  <si>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</si>
  <si>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</si>
  <si>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</si>
  <si>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</si>
  <si>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</si>
  <si>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</si>
  <si>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</si>
  <si>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</si>
  <si>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</si>
  <si>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</si>
  <si>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</si>
  <si>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</si>
  <si>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</si>
  <si>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</si>
  <si>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</si>
  <si>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</si>
  <si>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</si>
  <si>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</si>
  <si>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</si>
  <si>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</si>
  <si>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</si>
  <si>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</si>
  <si>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</si>
  <si>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</si>
  <si>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</si>
  <si>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</si>
  <si>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</si>
  <si>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</si>
  <si>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</si>
  <si>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</si>
  <si>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</si>
  <si>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</si>
  <si>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</si>
  <si>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</si>
  <si>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</si>
  <si>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</si>
  <si>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</si>
  <si>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</si>
  <si>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</si>
  <si>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</si>
  <si>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</si>
  <si>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</si>
  <si>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</si>
  <si>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</si>
  <si>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</si>
  <si>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</si>
  <si>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</si>
  <si>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</si>
  <si>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</si>
  <si>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</si>
  <si>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</si>
  <si>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</si>
  <si>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</si>
  <si>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</si>
  <si>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</si>
  <si>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</si>
  <si>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</si>
  <si>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</si>
  <si>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</si>
  <si>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</si>
  <si>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</si>
  <si>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</si>
  <si>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</si>
  <si>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</si>
  <si>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</si>
  <si>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</si>
  <si>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</si>
  <si>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</si>
  <si>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</si>
  <si>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</si>
  <si>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</si>
  <si>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</si>
  <si>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</si>
  <si>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</si>
  <si>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</si>
  <si>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</si>
  <si>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</si>
  <si>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</si>
  <si>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</si>
  <si>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</si>
  <si>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</si>
  <si>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</si>
  <si>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</si>
  <si>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</si>
  <si>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</si>
  <si>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</si>
  <si>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</si>
  <si>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</si>
  <si>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</si>
  <si>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</si>
  <si>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</si>
  <si>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</si>
  <si>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</si>
  <si>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</si>
  <si>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</si>
  <si>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</si>
  <si>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</si>
  <si>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</si>
  <si>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</si>
  <si>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</si>
  <si>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</si>
  <si>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</si>
  <si>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</si>
  <si>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</si>
  <si>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</si>
  <si>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</si>
  <si>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</si>
  <si>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</si>
  <si>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</si>
  <si>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</si>
  <si>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</si>
  <si>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</si>
  <si>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</si>
  <si>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</si>
  <si>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</si>
  <si>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</si>
  <si>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</si>
  <si>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</si>
  <si>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</si>
  <si>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</si>
  <si>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</si>
  <si>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</si>
  <si>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</si>
  <si>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</si>
  <si>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</si>
  <si>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</si>
  <si>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</si>
  <si>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</si>
  <si>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</si>
  <si>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</si>
  <si>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</si>
  <si>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</si>
  <si>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</si>
  <si>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</si>
  <si>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</si>
  <si>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</si>
  <si>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</si>
  <si>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</si>
  <si>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</si>
  <si>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</si>
  <si>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</si>
  <si>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</si>
  <si>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</si>
  <si>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</si>
  <si>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</si>
  <si>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</si>
  <si>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</si>
  <si>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</si>
  <si>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</si>
  <si>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</si>
  <si>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</si>
  <si>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</si>
  <si>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</si>
  <si>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</si>
  <si>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</si>
  <si>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</si>
  <si>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</si>
  <si>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</si>
  <si>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</si>
  <si>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</si>
  <si>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</si>
  <si>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</si>
  <si>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</si>
  <si>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</si>
  <si>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</si>
  <si>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</si>
  <si>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</si>
  <si>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</si>
  <si>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</si>
  <si>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</si>
  <si>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</si>
  <si>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</si>
  <si>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</si>
  <si>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</si>
  <si>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</si>
  <si>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</si>
  <si>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</si>
  <si>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</si>
  <si>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</si>
  <si>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</si>
  <si>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</si>
  <si>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</si>
  <si>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</si>
  <si>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</si>
  <si>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</si>
  <si>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</si>
  <si>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</si>
  <si>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</si>
  <si>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</si>
  <si>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</si>
  <si>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</si>
  <si>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</si>
  <si>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</si>
  <si>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</si>
  <si>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</si>
  <si>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</si>
  <si>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</si>
  <si>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</si>
  <si>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</si>
  <si>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</si>
  <si>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</si>
  <si>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</si>
  <si>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</si>
  <si>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</si>
  <si>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</si>
  <si>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</si>
  <si>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</si>
  <si>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</si>
  <si>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</si>
  <si>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</si>
  <si>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</si>
  <si>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</si>
  <si>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</si>
  <si>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</si>
  <si>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</si>
  <si>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</si>
  <si>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</si>
  <si>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</si>
  <si>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</si>
  <si>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</si>
  <si>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</si>
  <si>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</si>
  <si>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</si>
  <si>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</si>
  <si>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</si>
  <si>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</si>
  <si>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</si>
  <si>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</si>
  <si>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</si>
  <si>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</si>
  <si>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</si>
  <si>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</si>
  <si>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</si>
  <si>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</si>
  <si>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</si>
  <si>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</si>
  <si>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</si>
  <si>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</si>
  <si>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</si>
  <si>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</si>
  <si>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</si>
  <si>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</si>
  <si>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</si>
  <si>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</si>
  <si>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</si>
  <si>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</si>
  <si>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</si>
  <si>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</si>
  <si>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</si>
  <si>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</si>
  <si>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</si>
  <si>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</si>
  <si>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</si>
  <si>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</si>
  <si>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</si>
  <si>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</si>
  <si>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</si>
  <si>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</si>
  <si>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</si>
  <si>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</si>
  <si>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</si>
  <si>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</si>
  <si>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</si>
  <si>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</si>
  <si>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</si>
  <si>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</si>
  <si>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</si>
  <si>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</si>
  <si>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</si>
  <si>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</si>
  <si>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</si>
  <si>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</si>
  <si>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</si>
  <si>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</si>
  <si>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</si>
  <si>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</si>
  <si>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</si>
  <si>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</si>
  <si>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</si>
  <si>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</si>
  <si>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</si>
  <si>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</si>
  <si>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</si>
  <si>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</si>
  <si>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</si>
  <si>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</si>
  <si>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</si>
  <si>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</si>
  <si>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</si>
  <si>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</si>
  <si>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</si>
  <si>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</si>
  <si>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</si>
  <si>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</si>
  <si>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</si>
  <si>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</si>
  <si>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</si>
  <si>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</si>
  <si>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</si>
  <si>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</si>
  <si>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</si>
  <si>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</si>
  <si>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</si>
  <si>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</si>
  <si>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</si>
  <si>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</si>
  <si>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</si>
  <si>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</si>
  <si>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</si>
  <si>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</si>
  <si>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</si>
  <si>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</si>
  <si>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</si>
  <si>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</si>
  <si>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</si>
  <si>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</si>
  <si>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</si>
  <si>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</si>
  <si>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</si>
  <si>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</si>
  <si>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</si>
  <si>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</si>
  <si>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</si>
  <si>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</si>
  <si>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</si>
  <si>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</si>
  <si>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</si>
  <si>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</si>
  <si>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</si>
  <si>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</si>
  <si>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</si>
  <si>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</si>
  <si>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</si>
  <si>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</si>
  <si>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</si>
  <si>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</si>
  <si>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</si>
  <si>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</si>
  <si>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</si>
  <si>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</si>
  <si>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</si>
  <si>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</si>
  <si>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</si>
  <si>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</si>
  <si>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</si>
  <si>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</si>
  <si>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</si>
  <si>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</si>
  <si>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</si>
  <si>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</si>
  <si>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</si>
  <si>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</si>
  <si>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</si>
  <si>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</si>
  <si>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</si>
  <si>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</si>
  <si>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</si>
  <si>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</si>
  <si>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</si>
  <si>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</si>
  <si>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</si>
  <si>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</si>
  <si>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</si>
  <si>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</si>
  <si>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</si>
  <si>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</si>
  <si>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</si>
  <si>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</si>
  <si>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</si>
  <si>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</si>
  <si>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</si>
  <si>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</si>
  <si>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</si>
  <si>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</si>
  <si>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</si>
  <si>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</si>
  <si>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</si>
  <si>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</si>
  <si>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</si>
  <si>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</si>
  <si>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</si>
  <si>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</si>
  <si>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</si>
  <si>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</si>
  <si>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</si>
  <si>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</si>
  <si>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</si>
  <si>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</si>
  <si>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</si>
  <si>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</si>
  <si>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</si>
  <si>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</si>
  <si>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</si>
  <si>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</si>
  <si>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</si>
  <si>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</si>
  <si>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</si>
  <si>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</si>
  <si>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</si>
  <si>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</si>
  <si>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</si>
  <si>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</si>
  <si>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</si>
  <si>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</si>
  <si>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</si>
  <si>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</si>
  <si>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</si>
  <si>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</si>
  <si>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</si>
  <si>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</si>
  <si>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</si>
  <si>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</si>
  <si>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</si>
  <si>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</si>
  <si>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</si>
  <si>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</si>
  <si>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</si>
  <si>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</si>
  <si>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</si>
  <si>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</si>
  <si>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</si>
  <si>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</si>
  <si>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</si>
  <si>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</si>
  <si>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</si>
  <si>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</si>
  <si>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</si>
  <si>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</si>
  <si>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</si>
  <si>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</si>
  <si>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</si>
  <si>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</si>
  <si>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</si>
  <si>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</si>
  <si>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</si>
  <si>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</si>
  <si>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</si>
  <si>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</si>
  <si>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</si>
  <si>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</si>
  <si>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</si>
  <si>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</si>
  <si>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</si>
  <si>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</si>
  <si>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</si>
  <si>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</si>
  <si>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</si>
  <si>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</si>
  <si>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</si>
  <si>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</si>
  <si>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</si>
  <si>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</si>
  <si>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</si>
  <si>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</si>
  <si>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</si>
  <si>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</si>
  <si>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</si>
  <si>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</si>
  <si>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</si>
  <si>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</si>
  <si>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</si>
  <si>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</si>
  <si>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</si>
  <si>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</si>
  <si>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</si>
  <si>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</si>
  <si>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</si>
  <si>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</si>
  <si>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</si>
  <si>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</si>
  <si>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</si>
  <si>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</si>
  <si>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</si>
  <si>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</si>
  <si>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</si>
  <si>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</si>
  <si>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</si>
  <si>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</si>
  <si>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</si>
  <si>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</si>
  <si>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</si>
  <si>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</si>
  <si>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</si>
  <si>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</si>
  <si>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</si>
  <si>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</si>
  <si>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</si>
  <si>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</si>
  <si>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</si>
  <si>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</si>
  <si>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</si>
  <si>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</si>
  <si>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</si>
  <si>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</si>
  <si>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</si>
  <si>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</si>
  <si>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</si>
  <si>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</si>
  <si>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</si>
  <si>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</si>
  <si>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</si>
  <si>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</si>
  <si>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</si>
  <si>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</si>
  <si>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</si>
  <si>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</si>
  <si>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</si>
  <si>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</si>
  <si>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</si>
  <si>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</si>
  <si>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</si>
  <si>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</si>
  <si>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</si>
  <si>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</si>
  <si>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</si>
  <si>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</si>
  <si>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</si>
  <si>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</si>
  <si>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</si>
  <si>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</si>
  <si>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</si>
  <si>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</si>
  <si>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</si>
  <si>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</si>
  <si>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</si>
  <si>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</si>
  <si>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</si>
  <si>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</si>
  <si>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</si>
  <si>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</si>
  <si>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</si>
  <si>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</si>
  <si>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</si>
  <si>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</si>
  <si>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</si>
  <si>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</si>
  <si>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</si>
  <si>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</si>
  <si>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</si>
  <si>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</si>
  <si>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</si>
  <si>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</si>
  <si>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</si>
  <si>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</si>
  <si>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</si>
  <si>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</si>
  <si>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</si>
  <si>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</si>
  <si>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</si>
  <si>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</si>
  <si>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</si>
  <si>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</si>
  <si>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</si>
  <si>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</si>
  <si>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</si>
  <si>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</si>
  <si>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</si>
  <si>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</si>
  <si>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</si>
  <si>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</si>
  <si>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</si>
  <si>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</si>
  <si>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</si>
  <si>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</si>
  <si>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</si>
  <si>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</si>
  <si>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</si>
  <si>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</si>
  <si>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</si>
  <si>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</si>
  <si>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</si>
  <si>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</si>
  <si>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</si>
  <si>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</si>
  <si>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</si>
  <si>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</si>
  <si>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</si>
  <si>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</si>
  <si>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</si>
  <si>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</si>
  <si>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</si>
  <si>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</si>
  <si>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</si>
  <si>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</si>
  <si>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</si>
  <si>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</si>
  <si>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</si>
  <si>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</si>
  <si>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</si>
  <si>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</si>
  <si>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</si>
  <si>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</si>
  <si>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</si>
  <si>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</si>
  <si>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</si>
  <si>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</si>
  <si>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</si>
  <si>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</si>
  <si>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</si>
  <si>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</si>
  <si>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</si>
  <si>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</si>
  <si>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</si>
  <si>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</si>
  <si>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</si>
  <si>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</si>
  <si>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</si>
  <si>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</si>
  <si>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</si>
  <si>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</si>
  <si>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</si>
  <si>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</si>
  <si>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</si>
  <si>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</si>
  <si>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</si>
  <si>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</si>
  <si>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</si>
  <si>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</si>
  <si>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</si>
  <si>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</si>
  <si>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</si>
  <si>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</si>
  <si>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</si>
  <si>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</si>
  <si>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</si>
  <si>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</si>
  <si>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</si>
  <si>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</si>
  <si>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</si>
  <si>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</si>
  <si>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</si>
  <si>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</si>
  <si>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</si>
  <si>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</si>
  <si>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</si>
  <si>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</si>
  <si>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</si>
  <si>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</si>
  <si>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</si>
  <si>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</si>
  <si>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</si>
  <si>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</si>
  <si>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</si>
  <si>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</si>
  <si>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</si>
  <si>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</si>
  <si>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</si>
  <si>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</si>
  <si>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</si>
  <si>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</si>
  <si>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</si>
  <si>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</si>
  <si>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</si>
  <si>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</si>
  <si>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</si>
  <si>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</si>
  <si>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</si>
  <si>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</si>
  <si>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</si>
  <si>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</si>
  <si>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</si>
  <si>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</si>
  <si>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</si>
  <si>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</si>
  <si>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</si>
  <si>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</si>
  <si>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</si>
  <si>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</si>
  <si>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</si>
  <si>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</si>
  <si>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</si>
  <si>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</si>
  <si>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</si>
  <si>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</si>
  <si>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</si>
  <si>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</si>
  <si>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</si>
  <si>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</si>
  <si>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</si>
  <si>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</si>
  <si>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</si>
  <si>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</si>
  <si>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</si>
  <si>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</si>
  <si>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</si>
  <si>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</si>
  <si>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</si>
  <si>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</si>
  <si>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</si>
  <si>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</si>
  <si>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</si>
  <si>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</si>
  <si>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</si>
  <si>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</si>
  <si>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</si>
  <si>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</si>
  <si>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</si>
  <si>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</si>
  <si>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</si>
  <si>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</si>
  <si>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</si>
  <si>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</si>
  <si>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</si>
  <si>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</si>
  <si>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</si>
  <si>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</si>
  <si>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</si>
  <si>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</si>
  <si>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</si>
  <si>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</si>
  <si>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</si>
  <si>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</si>
  <si>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</si>
  <si>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</si>
  <si>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</si>
  <si>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</si>
  <si>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</si>
  <si>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</si>
  <si>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</si>
  <si>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</si>
  <si>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</si>
  <si>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</si>
  <si>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</si>
  <si>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</si>
  <si>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</si>
  <si>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</si>
  <si>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</si>
  <si>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</si>
  <si>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</si>
  <si>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</si>
  <si>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</si>
  <si>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</si>
  <si>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</si>
  <si>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</si>
  <si>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</si>
  <si>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</si>
  <si>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</si>
  <si>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</si>
  <si>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</si>
  <si>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</si>
  <si>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</si>
  <si>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</si>
  <si>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</si>
  <si>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</si>
  <si>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</si>
  <si>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</si>
  <si>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</si>
  <si>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</si>
  <si>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</si>
  <si>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</si>
  <si>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</si>
  <si>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</si>
  <si>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</si>
  <si>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</si>
  <si>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</si>
  <si>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</si>
  <si>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</si>
  <si>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</si>
  <si>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</si>
  <si>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</si>
  <si>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</si>
  <si>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</si>
  <si>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</si>
  <si>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</si>
  <si>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</si>
  <si>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</si>
  <si>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</si>
  <si>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</si>
  <si>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</si>
  <si>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</si>
  <si>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</si>
  <si>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</si>
  <si>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</si>
  <si>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</si>
  <si>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</si>
  <si>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</si>
  <si>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</si>
  <si>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</si>
  <si>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</si>
  <si>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</si>
  <si>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</si>
  <si>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</si>
  <si>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</si>
  <si>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</si>
  <si>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</si>
  <si>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</si>
  <si>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</si>
  <si>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</si>
  <si>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</si>
  <si>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</si>
  <si>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</si>
  <si>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</si>
  <si>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</si>
  <si>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</si>
  <si>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</si>
  <si>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</si>
  <si>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</si>
  <si>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</si>
  <si>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</si>
  <si>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</si>
  <si>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</si>
  <si>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</si>
  <si>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</si>
  <si>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</si>
  <si>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</si>
  <si>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</si>
  <si>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</si>
  <si>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</si>
  <si>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</si>
  <si>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</si>
  <si>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</si>
  <si>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</si>
  <si>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</si>
  <si>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</si>
  <si>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</si>
  <si>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</si>
  <si>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</si>
  <si>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</si>
  <si>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</si>
  <si>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</si>
  <si>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</si>
  <si>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</si>
  <si>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</si>
  <si>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</si>
  <si>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</si>
  <si>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</si>
  <si>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</si>
  <si>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</si>
  <si>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</si>
  <si>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</si>
  <si>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</si>
  <si>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</si>
  <si>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</si>
  <si>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</si>
  <si>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</si>
  <si>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</si>
  <si>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</si>
  <si>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</si>
  <si>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</si>
  <si>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</si>
  <si>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</si>
  <si>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</si>
  <si>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</si>
  <si>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</si>
  <si>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</si>
  <si>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</si>
  <si>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</si>
  <si>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</si>
  <si>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</si>
  <si>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</si>
  <si>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</si>
  <si>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</si>
  <si>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</si>
  <si>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</si>
  <si>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</si>
  <si>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</si>
  <si>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</si>
  <si>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</si>
  <si>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</si>
  <si>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</si>
  <si>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</si>
  <si>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</si>
  <si>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</si>
  <si>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</si>
  <si>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</si>
  <si>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</si>
  <si>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</si>
  <si>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</si>
  <si>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</si>
  <si>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</si>
  <si>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</si>
  <si>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</si>
  <si>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</si>
  <si>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</si>
  <si>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</si>
  <si>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</si>
  <si>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</si>
  <si>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</si>
  <si>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</si>
  <si>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</si>
  <si>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</si>
  <si>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</si>
  <si>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</si>
  <si>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</si>
  <si>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</si>
  <si>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</si>
  <si>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</si>
  <si>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</si>
  <si>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</si>
  <si>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</si>
  <si>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</si>
  <si>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</si>
  <si>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</si>
  <si>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</si>
  <si>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</si>
  <si>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</si>
  <si>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</si>
  <si>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</si>
  <si>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</si>
  <si>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</si>
  <si>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</si>
  <si>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</si>
  <si>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</si>
  <si>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</si>
  <si>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</si>
  <si>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</si>
  <si>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</si>
  <si>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</si>
  <si>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</si>
  <si>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</si>
  <si>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</si>
  <si>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</si>
  <si>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</si>
  <si>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</si>
  <si>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</si>
  <si>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</si>
  <si>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</si>
  <si>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</si>
  <si>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</si>
  <si>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</si>
  <si>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</si>
  <si>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</si>
  <si>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</si>
  <si>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</si>
  <si>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</si>
  <si>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</si>
  <si>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</si>
  <si>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</si>
  <si>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</si>
  <si>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</si>
  <si>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</si>
  <si>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</si>
  <si>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</si>
  <si>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</si>
  <si>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</si>
  <si>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</si>
  <si>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</si>
  <si>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</si>
  <si>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</si>
  <si>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</si>
  <si>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</si>
  <si>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</si>
  <si>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</si>
  <si>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</si>
  <si>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</si>
  <si>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</si>
  <si>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</si>
  <si>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</si>
  <si>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</si>
  <si>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</si>
  <si>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</si>
  <si>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</si>
  <si>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</si>
  <si>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</si>
  <si>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</si>
  <si>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</si>
  <si>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</si>
  <si>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</si>
  <si>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</si>
  <si>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</si>
  <si>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</si>
  <si>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</si>
  <si>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</si>
  <si>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</si>
  <si>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</si>
  <si>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</si>
  <si>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</si>
  <si>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</si>
  <si>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</si>
  <si>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</si>
  <si>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</si>
  <si>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</si>
  <si>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</si>
  <si>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</si>
  <si>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</si>
  <si>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</si>
  <si>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</si>
  <si>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</si>
  <si>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</si>
  <si>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</si>
  <si>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</si>
  <si>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</si>
  <si>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</si>
  <si>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</si>
  <si>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</si>
  <si>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</si>
  <si>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</si>
  <si>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</si>
  <si>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地上</t>
  </si>
  <si>
    <t>住宅</t>
  </si>
  <si>
    <t>是</t>
  </si>
  <si>
    <t>成新度</t>
  </si>
  <si>
    <t>收益法 (元)</t>
  </si>
  <si>
    <t>单套模式</t>
  </si>
  <si>
    <t>正常</t>
  </si>
  <si>
    <t>南北</t>
  </si>
  <si>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</si>
  <si>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</si>
  <si>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</si>
  <si>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</si>
  <si>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</si>
  <si>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</si>
  <si>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</si>
  <si>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</si>
  <si>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建成年代</t>
    <phoneticPr fontId="24" type="noConversion"/>
  </si>
  <si>
    <t>较好</t>
  </si>
  <si>
    <t>好</t>
  </si>
  <si>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</si>
  <si>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</si>
  <si>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</si>
  <si>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</si>
  <si>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</si>
  <si>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</si>
  <si>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</si>
  <si>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</si>
  <si>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</si>
  <si>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</si>
  <si>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</si>
  <si>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</si>
  <si>
    <t>塔楼</t>
    <phoneticPr fontId="24" type="noConversion"/>
  </si>
  <si>
    <t>住宅</t>
    <phoneticPr fontId="24" type="noConversion"/>
  </si>
  <si>
    <t>丰卉家园</t>
    <phoneticPr fontId="3" type="noConversion"/>
  </si>
  <si>
    <t>程庄北里1号楼4层6单元401号</t>
    <phoneticPr fontId="3" type="noConversion"/>
  </si>
  <si>
    <r>
      <t>5/12</t>
    </r>
    <r>
      <rPr>
        <sz val="11"/>
        <color indexed="8"/>
        <rFont val="宋体"/>
        <family val="3"/>
        <charset val="134"/>
      </rPr>
      <t>（中）</t>
    </r>
    <phoneticPr fontId="24" type="noConversion"/>
  </si>
  <si>
    <r>
      <t>4/6</t>
    </r>
    <r>
      <rPr>
        <sz val="11"/>
        <color indexed="8"/>
        <rFont val="宋体"/>
        <family val="3"/>
        <charset val="134"/>
      </rPr>
      <t>（中）</t>
    </r>
    <phoneticPr fontId="24" type="noConversion"/>
  </si>
  <si>
    <t>南北西</t>
  </si>
  <si>
    <t>南北西</t>
    <phoneticPr fontId="24" type="noConversion"/>
  </si>
  <si>
    <t>南北</t>
    <phoneticPr fontId="24" type="noConversion"/>
  </si>
  <si>
    <t>多层板楼</t>
  </si>
  <si>
    <t>多层板楼</t>
    <phoneticPr fontId="24" type="noConversion"/>
  </si>
  <si>
    <t>高层板楼</t>
  </si>
  <si>
    <t>高层板楼</t>
    <phoneticPr fontId="24" type="noConversion"/>
  </si>
  <si>
    <t>砖混</t>
  </si>
  <si>
    <t>砖混</t>
    <phoneticPr fontId="24" type="noConversion"/>
  </si>
  <si>
    <t>简单装修</t>
    <phoneticPr fontId="24" type="noConversion"/>
  </si>
  <si>
    <t>毛坯</t>
    <phoneticPr fontId="24" type="noConversion"/>
  </si>
  <si>
    <t>住宅</t>
    <phoneticPr fontId="24" type="noConversion"/>
  </si>
  <si>
    <t>电梯</t>
    <phoneticPr fontId="24" type="noConversion"/>
  </si>
  <si>
    <t>是</t>
    <phoneticPr fontId="24" type="noConversion"/>
  </si>
  <si>
    <t>否</t>
    <phoneticPr fontId="24" type="noConversion"/>
  </si>
  <si>
    <t>彩虹家园北区</t>
    <phoneticPr fontId="24" type="noConversion"/>
  </si>
  <si>
    <t>程庄路8号院10号楼3层3单元301</t>
    <phoneticPr fontId="24" type="noConversion"/>
  </si>
  <si>
    <r>
      <t>3/9</t>
    </r>
    <r>
      <rPr>
        <sz val="11"/>
        <color indexed="8"/>
        <rFont val="宋体"/>
        <family val="3"/>
        <charset val="134"/>
      </rPr>
      <t>（低）</t>
    </r>
    <phoneticPr fontId="24" type="noConversion"/>
  </si>
  <si>
    <t>程庄南里</t>
    <phoneticPr fontId="24" type="noConversion"/>
  </si>
  <si>
    <t>程庄南里3号楼2层201</t>
    <phoneticPr fontId="24" type="noConversion"/>
  </si>
  <si>
    <t>东南</t>
    <phoneticPr fontId="24" type="noConversion"/>
  </si>
  <si>
    <t>西南</t>
    <phoneticPr fontId="24" type="noConversion"/>
  </si>
  <si>
    <t>南</t>
    <phoneticPr fontId="24" type="noConversion"/>
  </si>
  <si>
    <t>东西</t>
    <phoneticPr fontId="24" type="noConversion"/>
  </si>
  <si>
    <t>东北</t>
  </si>
  <si>
    <t>东北</t>
    <phoneticPr fontId="24" type="noConversion"/>
  </si>
  <si>
    <t>西北</t>
    <phoneticPr fontId="24" type="noConversion"/>
  </si>
  <si>
    <r>
      <t>2/19</t>
    </r>
    <r>
      <rPr>
        <sz val="11"/>
        <color indexed="8"/>
        <rFont val="宋体"/>
        <family val="3"/>
        <charset val="134"/>
      </rPr>
      <t>（低）</t>
    </r>
    <phoneticPr fontId="24" type="noConversion"/>
  </si>
  <si>
    <t>钢混</t>
  </si>
  <si>
    <t>自然人</t>
  </si>
  <si>
    <t>差</t>
  </si>
  <si>
    <t>塔楼</t>
  </si>
  <si>
    <t>单位自管</t>
  </si>
  <si>
    <t>单位自管</t>
    <phoneticPr fontId="24" type="noConversion"/>
  </si>
  <si>
    <t>现房</t>
  </si>
  <si>
    <t>项目全部</t>
  </si>
  <si>
    <t>部位号</t>
    <phoneticPr fontId="134" type="noConversion"/>
  </si>
  <si>
    <t>时间</t>
    <phoneticPr fontId="134" type="noConversion"/>
  </si>
  <si>
    <t>起拍价</t>
    <phoneticPr fontId="134" type="noConversion"/>
  </si>
  <si>
    <t xml:space="preserve"> 2022/09/11</t>
    <phoneticPr fontId="134" type="noConversion"/>
  </si>
  <si>
    <t>流拍，无人出价</t>
    <phoneticPr fontId="134" type="noConversion"/>
  </si>
  <si>
    <t>备注</t>
    <phoneticPr fontId="134" type="noConversion"/>
  </si>
  <si>
    <t>评估价</t>
    <phoneticPr fontId="134" type="noConversion"/>
  </si>
  <si>
    <t>https://sf-item.taobao.com/sf_item/684456993736.htm?spm=a213w.7398504.paiList.6.1dfb565eh9IAX9&amp;track_id=431cfd9d-7e62-4930-8dd2-83ef9078ed27</t>
    <phoneticPr fontId="134" type="noConversion"/>
  </si>
  <si>
    <t>https://sf-item.taobao.com/sf_item/684111532436.htm?spm=a213w.7398504.paiList.5.1dfb565eh9IAX9&amp;track_id=431cfd9d-7e62-4930-8dd2-83ef9078ed27</t>
    <phoneticPr fontId="134" type="noConversion"/>
  </si>
  <si>
    <r>
      <t>-</t>
    </r>
    <r>
      <rPr>
        <sz val="11"/>
        <color theme="1"/>
        <rFont val="宋体"/>
        <family val="3"/>
        <charset val="134"/>
        <scheme val="minor"/>
      </rPr>
      <t>1层0</t>
    </r>
    <r>
      <rPr>
        <sz val="11"/>
        <color theme="1"/>
        <rFont val="宋体"/>
        <family val="3"/>
        <charset val="134"/>
        <scheme val="minor"/>
      </rPr>
      <t>42</t>
    </r>
    <phoneticPr fontId="134" type="noConversion"/>
  </si>
  <si>
    <t>-1层043</t>
    <phoneticPr fontId="134" type="noConversion"/>
  </si>
  <si>
    <t>-1层126</t>
    <phoneticPr fontId="134" type="noConversion"/>
  </si>
  <si>
    <t>https://paimai.jd.com/306955721</t>
    <phoneticPr fontId="134" type="noConversion"/>
  </si>
  <si>
    <t>车位</t>
  </si>
  <si>
    <t>车位</t>
    <phoneticPr fontId="7" type="noConversion"/>
  </si>
  <si>
    <t>非生产用房</t>
  </si>
  <si>
    <t>成本法 (元)</t>
  </si>
  <si>
    <t>500米范围内</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</si>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</sst>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13" fillId="5" borderId="13"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44" fillId="9" borderId="37" xfId="0"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44" fillId="9" borderId="5" xfId="0" applyFont="1" applyFill="1" applyBorder="1" applyAlignment="1">
      <alignment horizontal="center" vertical="center" wrapText="1"/>
    </xf>
    <xf numFmtId="0" fontId="0" fillId="0" borderId="0" xfId="0" applyAlignment="1">
      <alignment horizontal="center" vertical="center"/>
    </xf>
    <xf numFmtId="0" fontId="273" fillId="0" borderId="0" xfId="20">
      <alignment vertical="center"/>
    </xf>
    <xf numFmtId="14" fontId="0" fillId="0" borderId="0" xfId="0" applyNumberFormat="1" applyAlignment="1">
      <alignment horizontal="center" vertical="center"/>
    </xf>
    <xf numFmtId="49" fontId="95" fillId="0" borderId="0" xfId="0" applyNumberFormat="1" applyFon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xdr:rowOff>
    </xdr:from>
    <xdr:to>
      <xdr:col>9</xdr:col>
      <xdr:colOff>360358</xdr:colOff>
      <xdr:row>25</xdr:row>
      <xdr:rowOff>132900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04900"/>
          <a:ext cx="7096438" cy="3600000"/>
        </a:xfrm>
        <a:prstGeom prst="rect">
          <a:avLst/>
        </a:prstGeom>
      </xdr:spPr>
    </xdr:pic>
    <xdr:clientData/>
  </xdr:twoCellAnchor>
  <xdr:twoCellAnchor editAs="oneCell">
    <xdr:from>
      <xdr:col>0</xdr:col>
      <xdr:colOff>0</xdr:colOff>
      <xdr:row>25</xdr:row>
      <xdr:rowOff>144780</xdr:rowOff>
    </xdr:from>
    <xdr:to>
      <xdr:col>6</xdr:col>
      <xdr:colOff>302244</xdr:colOff>
      <xdr:row>46</xdr:row>
      <xdr:rowOff>66205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16780"/>
          <a:ext cx="5209524" cy="3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paimai.jd.com/306955721" TargetMode="External"/><Relationship Id="rId2" Type="http://schemas.openxmlformats.org/officeDocument/2006/relationships/hyperlink" Target="https://sf-item.taobao.com/sf_item/684111532436.htm?spm=a213w.7398504.paiList.5.1dfb565eh9IAX9&amp;track_id=431cfd9d-7e62-4930-8dd2-83ef9078ed27" TargetMode="External"/><Relationship Id="rId1" Type="http://schemas.openxmlformats.org/officeDocument/2006/relationships/hyperlink" Target="https://sf-item.taobao.com/sf_item/684456993736.htm?spm=a213w.7398504.paiList.6.1dfb565eh9IAX9&amp;track_id=431cfd9d-7e62-4930-8dd2-83ef9078ed27" TargetMode="External"/><Relationship Id="rId4"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估价对象为北京市房地产,为开发建设的，该项目尚在开发建设中。根据《国有土地使用证》[]，估价对象（分摊）出让国有建设用地使用权面积为0平方米，规划建筑面积为32.25平方米。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2025年3月21日（评估专业人员实地查勘之日）</v>
      </c>
    </row>
    <row r="13" spans="1:2">
      <c r="A13" s="1119" t="s">
        <v>529</v>
      </c>
      <c r="B13" s="1120"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本次评估采用的主估价方法为收益法和成本法。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32.25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10" t="s">
        <v>2579</v>
      </c>
      <c r="J2" s="3210"/>
      <c r="K2" s="3210"/>
      <c r="L2" s="3210"/>
      <c r="M2" s="3210"/>
      <c r="N2" s="3210"/>
      <c r="O2" s="3210"/>
      <c r="P2" s="3210"/>
      <c r="Q2" s="3210"/>
      <c r="R2" s="3210"/>
    </row>
    <row r="3" spans="1:18">
      <c r="A3" s="2762" t="s">
        <v>2500</v>
      </c>
      <c r="B3" s="2763">
        <f>项目基本情况!D3</f>
        <v>45737</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1.74</v>
      </c>
      <c r="D5" s="2767">
        <f>IF(ISERROR(ROUND(POWER(1+E5,A5-C5)*(POWER(1+E5,C5)-1)/(POWER(1+E5,A5)-1),3)),0,ROUND(POWER(1+E5,A5-C5)*(POWER(1+E5,C5)-1)/(POWER(1+E5,A5)-1),4))</f>
        <v>8.3299999999999999E-2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11.75</v>
      </c>
      <c r="D6" s="2767">
        <f>IF(ISERROR(ROUND(POWER(1+E6,A6-C6)*(POWER(1+E6,C6)-1)/(POWER(1+E6,A6)-1),3)),0,ROUND(POWER(1+E6,A6-C6)*(POWER(1+E6,C6)-1)/(POWER(1+E6,A6)-1),4))</f>
        <v>0.42970000000000003</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31.76</v>
      </c>
      <c r="D7" s="2767">
        <f>IF(ISERROR(ROUND(POWER(1+E7,A7-C7)*(POWER(1+E7,C7)-1)/(POWER(1+E7,A7)-1),3)),0,ROUND(POWER(1+E7,A7-C7)*(POWER(1+E7,C7)-1)/(POWER(1+E7,A7)-1),4))</f>
        <v>0.7611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3388</v>
      </c>
    </row>
    <row r="50" spans="1:4">
      <c r="A50" s="3144" t="s">
        <v>3389</v>
      </c>
      <c r="B50" s="3144" t="s">
        <v>3390</v>
      </c>
      <c r="C50" s="3144" t="s">
        <v>3391</v>
      </c>
      <c r="D50" s="3144" t="s">
        <v>3392</v>
      </c>
    </row>
    <row r="51" spans="1:4">
      <c r="A51" s="3144" t="s">
        <v>3393</v>
      </c>
      <c r="B51" s="2764">
        <f>B52+B53</f>
        <v>15000</v>
      </c>
      <c r="C51" s="3145">
        <f>D51/B51</f>
        <v>2666.6666666666665</v>
      </c>
      <c r="D51" s="2764">
        <f>D52+D53</f>
        <v>40000000</v>
      </c>
    </row>
    <row r="52" spans="1:4">
      <c r="A52" s="3146" t="s">
        <v>3394</v>
      </c>
      <c r="B52" s="3147">
        <v>10000</v>
      </c>
      <c r="C52" s="3147">
        <v>1500</v>
      </c>
      <c r="D52" s="3148">
        <f>C52*B52</f>
        <v>15000000</v>
      </c>
    </row>
    <row r="53" spans="1:4">
      <c r="A53" s="3146" t="s">
        <v>3395</v>
      </c>
      <c r="B53" s="3147">
        <v>5000</v>
      </c>
      <c r="C53" s="3147">
        <v>5000</v>
      </c>
      <c r="D53" s="3148">
        <f>C53*B53</f>
        <v>25000000</v>
      </c>
    </row>
    <row r="54" spans="1:4">
      <c r="A54" s="3144" t="s">
        <v>3396</v>
      </c>
      <c r="B54" s="2764">
        <f>B51</f>
        <v>15000</v>
      </c>
      <c r="C54" s="2770">
        <v>700</v>
      </c>
      <c r="D54" s="2764">
        <f t="shared" ref="D54:D55" si="5">C54*B54</f>
        <v>10500000</v>
      </c>
    </row>
    <row r="55" spans="1:4">
      <c r="A55" s="3144" t="s">
        <v>3397</v>
      </c>
      <c r="B55" s="2764">
        <f>B51</f>
        <v>15000</v>
      </c>
      <c r="C55" s="2770">
        <v>1500</v>
      </c>
      <c r="D55" s="2764">
        <f t="shared" si="5"/>
        <v>22500000</v>
      </c>
    </row>
    <row r="56" spans="1:4">
      <c r="A56" s="3144" t="s">
        <v>3398</v>
      </c>
      <c r="B56" s="2764">
        <f>B51</f>
        <v>15000</v>
      </c>
      <c r="C56" s="3149">
        <f>C51+C54+C55</f>
        <v>4866.6666666666661</v>
      </c>
      <c r="D56" s="2764">
        <f>D51+D54+D55</f>
        <v>73000000</v>
      </c>
    </row>
    <row r="58" spans="1:4">
      <c r="A58" s="3144" t="s">
        <v>3399</v>
      </c>
      <c r="B58" s="3150">
        <v>0.05</v>
      </c>
      <c r="C58" s="2764">
        <f>C56*(1+B58)</f>
        <v>5110</v>
      </c>
      <c r="D58" s="2764">
        <f>D56*B58</f>
        <v>3650000</v>
      </c>
    </row>
    <row r="60" spans="1:4">
      <c r="A60" s="3144" t="s">
        <v>3400</v>
      </c>
      <c r="B60" s="2770">
        <v>3500</v>
      </c>
      <c r="C60" s="2770">
        <f>C53</f>
        <v>5000</v>
      </c>
      <c r="D60" s="2764">
        <f>C60*B60</f>
        <v>17500000</v>
      </c>
    </row>
    <row r="62" spans="1:4">
      <c r="A62" s="3144" t="s">
        <v>3401</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21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45737</v>
      </c>
      <c r="C3" s="2186" t="s">
        <v>2171</v>
      </c>
      <c r="D3" s="2185">
        <v>45737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3403</v>
      </c>
      <c r="C8" s="2201"/>
      <c r="D8" s="3214" t="s">
        <v>2177</v>
      </c>
      <c r="E8" s="2202"/>
      <c r="F8" s="2203"/>
      <c r="G8" s="2441"/>
      <c r="H8" s="2441"/>
      <c r="I8" s="2441"/>
      <c r="J8" s="2244"/>
      <c r="K8" s="2399"/>
      <c r="L8" s="2398"/>
      <c r="M8" s="2398"/>
      <c r="N8" s="2244"/>
      <c r="O8" s="1670"/>
      <c r="P8" s="2244"/>
      <c r="Q8" s="2244"/>
      <c r="R8" s="2244"/>
    </row>
    <row r="9" spans="1:30" ht="13.8" thickBot="1">
      <c r="A9" s="2204" t="s">
        <v>2178</v>
      </c>
      <c r="B9" s="2205" t="s">
        <v>3404</v>
      </c>
      <c r="C9" s="2206"/>
      <c r="D9" s="3215"/>
      <c r="E9" s="2205"/>
      <c r="F9" s="2207"/>
      <c r="G9" s="2442"/>
      <c r="H9" s="2442"/>
      <c r="I9" s="2442"/>
      <c r="J9" s="2244"/>
      <c r="K9" s="2401"/>
      <c r="L9" s="2398"/>
      <c r="M9" s="2398"/>
      <c r="N9" s="2244"/>
      <c r="O9" s="1670"/>
      <c r="P9" s="2244"/>
      <c r="Q9" s="2244"/>
      <c r="R9" s="2244"/>
    </row>
    <row r="10" spans="1:30" ht="13.8" thickTop="1">
      <c r="A10" s="2208" t="s">
        <v>2179</v>
      </c>
      <c r="B10" s="2209" t="s">
        <v>3405</v>
      </c>
      <c r="C10" s="2210"/>
      <c r="D10" s="2193"/>
      <c r="E10" s="2211" t="s">
        <v>2180</v>
      </c>
      <c r="F10" s="2443"/>
      <c r="G10" s="2444"/>
      <c r="H10" s="2445"/>
      <c r="I10" s="2446"/>
      <c r="J10" s="2244"/>
      <c r="K10" s="2401"/>
      <c r="L10" s="2398"/>
      <c r="M10" s="2398"/>
      <c r="N10" s="2244"/>
      <c r="O10" s="1670"/>
      <c r="P10" s="2244"/>
      <c r="Q10" s="2244"/>
      <c r="R10" s="2244"/>
    </row>
    <row r="11" spans="1:30">
      <c r="A11" s="2212" t="s">
        <v>2181</v>
      </c>
      <c r="B11" s="3159" t="s">
        <v>3472</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3330</v>
      </c>
      <c r="B13" s="2217" t="s">
        <v>2190</v>
      </c>
      <c r="C13" s="803">
        <v>62859</v>
      </c>
      <c r="D13" s="803"/>
      <c r="E13" s="803"/>
      <c r="F13" s="803">
        <v>56285</v>
      </c>
      <c r="G13" s="803"/>
      <c r="H13" s="803"/>
      <c r="I13" s="803"/>
      <c r="J13" s="2802"/>
      <c r="K13" s="2398"/>
      <c r="L13" s="2398"/>
      <c r="M13" s="2244"/>
      <c r="N13" s="1670"/>
      <c r="O13" s="2244"/>
      <c r="P13" s="2244"/>
      <c r="Q13" s="2244"/>
      <c r="AD13" s="1618"/>
    </row>
    <row r="14" spans="1:30">
      <c r="A14" s="1018"/>
      <c r="B14" s="2217" t="s">
        <v>2191</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2192</v>
      </c>
      <c r="C15" s="2220">
        <f>IF(A13="出让",IF(C13="","",ROUNDDOWN(MIN((C13-$D$3)/365,C14),2)),C14)</f>
        <v>46.9</v>
      </c>
      <c r="D15" s="2220" t="str">
        <f>IF(A13="出让",IF(D13="","",ROUNDDOWN(MIN((D13-$D$3)/365,D14),2)),D14)</f>
        <v/>
      </c>
      <c r="E15" s="2220" t="str">
        <f>IF(A13="出让",IF(E13="","",ROUNDDOWN(MIN((E13-$D$3)/365,E14),2)),E14)</f>
        <v/>
      </c>
      <c r="F15" s="2220">
        <f>IF(A13="出让",IF(F13="","",ROUNDDOWN(MIN((F13-$D$3)/365,F14),2)),F14)</f>
        <v>28.89</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21"/>
      <c r="C16" s="3222"/>
      <c r="D16" s="3223"/>
      <c r="E16" s="2221" t="s">
        <v>2194</v>
      </c>
      <c r="F16" s="3224"/>
      <c r="G16" s="3225"/>
      <c r="H16" s="3225"/>
      <c r="I16" s="3226"/>
      <c r="J16" s="2244"/>
      <c r="K16" s="2402"/>
      <c r="L16" s="1670"/>
      <c r="M16" s="1670"/>
      <c r="N16" s="2244"/>
      <c r="O16" s="1670"/>
      <c r="P16" s="2244"/>
      <c r="Q16" s="2244"/>
      <c r="R16" s="2244"/>
    </row>
    <row r="17" spans="1:28">
      <c r="A17" s="305" t="s">
        <v>2195</v>
      </c>
      <c r="B17" s="294" t="s">
        <v>2196</v>
      </c>
      <c r="C17" s="8">
        <f>'数据-汇总表'!E3</f>
        <v>32.25</v>
      </c>
      <c r="D17" s="1256" t="s">
        <v>2197</v>
      </c>
      <c r="E17" s="3227" t="s">
        <v>2198</v>
      </c>
      <c r="F17" s="3228"/>
      <c r="G17" s="3228"/>
      <c r="H17" s="3228"/>
      <c r="I17" s="3229"/>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0" t="s">
        <v>2202</v>
      </c>
      <c r="F18" s="3231"/>
      <c r="G18" s="3231"/>
      <c r="H18" s="3231"/>
      <c r="I18" s="3232"/>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7" t="s">
        <v>2206</v>
      </c>
      <c r="C20" s="3218"/>
      <c r="D20" s="3219" t="s">
        <v>2207</v>
      </c>
      <c r="E20" s="3220"/>
      <c r="F20" s="2429" t="s">
        <v>1056</v>
      </c>
      <c r="G20" s="2441"/>
      <c r="H20" s="2441"/>
      <c r="I20" s="2441"/>
      <c r="J20" s="2244"/>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4"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5"/>
      <c r="B30" s="294" t="s">
        <v>2218</v>
      </c>
      <c r="C30" s="3236"/>
      <c r="D30" s="3237"/>
      <c r="E30" s="2441"/>
      <c r="F30" s="2441"/>
      <c r="G30" s="2441"/>
      <c r="H30" s="2441"/>
      <c r="I30" s="2441"/>
      <c r="J30" s="2244"/>
      <c r="K30" s="2401"/>
      <c r="L30" s="2398"/>
      <c r="M30" s="2398"/>
      <c r="N30" s="2244"/>
      <c r="O30" s="1670"/>
      <c r="P30" s="2244"/>
      <c r="Q30" s="2244"/>
      <c r="R30" s="2244"/>
      <c r="S30" s="2244"/>
      <c r="T30" s="2244"/>
      <c r="U30" s="2244"/>
      <c r="V30" s="2244"/>
    </row>
    <row r="31" spans="1:28">
      <c r="A31" s="3238"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4"/>
      <c r="V34" s="2244"/>
    </row>
    <row r="35" spans="1:30">
      <c r="A35" s="2235"/>
      <c r="B35" s="3233" t="s">
        <v>2229</v>
      </c>
      <c r="C35" s="3233"/>
      <c r="D35" s="3233"/>
      <c r="E35" s="323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t="s">
        <v>287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0" sqref="H5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32.25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32.25</v>
      </c>
      <c r="H5" s="13">
        <f t="shared" ref="H5:AT5" si="0">SUM(H13:H656)</f>
        <v>32.25</v>
      </c>
      <c r="I5" s="13">
        <f t="shared" si="0"/>
        <v>32.25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32.25</v>
      </c>
      <c r="BA5" s="15">
        <f t="shared" si="1"/>
        <v>32.25</v>
      </c>
      <c r="BB5" s="15">
        <f t="shared" si="1"/>
        <v>32.25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3408</v>
      </c>
      <c r="E13" s="13">
        <f>IF($C$3="是",ROUND($A$3*G13/$B$3,2),ROUND($A$3*(G13-AT13)/$B$3,2))</f>
        <v>0</v>
      </c>
      <c r="F13" s="29"/>
      <c r="G13" s="30">
        <f>H13+AC13+AT13</f>
        <v>32.25</v>
      </c>
      <c r="H13" s="17">
        <f>SUMIF(I$12:AB$12,"总值",I13:AB13)</f>
        <v>32.25</v>
      </c>
      <c r="I13" s="1514">
        <v>32.25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32.25</v>
      </c>
      <c r="BA13" s="13">
        <f>SUM(BB13:BK13)</f>
        <v>32.25</v>
      </c>
      <c r="BB13" s="13">
        <f>IF($D13="是",I13-J13,0)</f>
        <v>32.25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9" t="s">
        <v>1131</v>
      </c>
      <c r="B2" s="3249"/>
      <c r="C2" s="3249"/>
      <c r="D2" s="748" t="s">
        <v>1107</v>
      </c>
      <c r="E2" s="1523" t="s">
        <v>1108</v>
      </c>
      <c r="F2" s="2438"/>
      <c r="G2" s="2431"/>
      <c r="H2" s="2432"/>
      <c r="I2" s="2146" t="s">
        <v>1132</v>
      </c>
      <c r="J2" s="2438"/>
      <c r="K2" s="2438"/>
      <c r="L2" s="2438"/>
      <c r="M2" s="2438"/>
      <c r="N2" s="2439"/>
      <c r="O2" s="2438"/>
      <c r="P2" s="2438"/>
    </row>
    <row r="3" spans="1:16" ht="15" thickBot="1">
      <c r="A3" s="3250" t="s">
        <v>1105</v>
      </c>
      <c r="B3" s="3250"/>
      <c r="C3" s="3250"/>
      <c r="D3" s="41">
        <f>'数据-基础表'!AY6</f>
        <v>0</v>
      </c>
      <c r="E3" s="41">
        <f>'数据-基础表'!AZ5</f>
        <v>32.25</v>
      </c>
      <c r="F3" s="2438"/>
      <c r="G3" s="42"/>
      <c r="H3" s="43" t="s">
        <v>1106</v>
      </c>
      <c r="I3" s="802" t="e">
        <f>ROUND('数据-基础表'!B3/'数据-基础表'!A3,2)</f>
        <v>#DIV/0!</v>
      </c>
      <c r="J3" s="2438"/>
      <c r="K3" s="2438"/>
      <c r="L3" s="2438"/>
      <c r="M3" s="2438"/>
      <c r="N3" s="2439"/>
      <c r="O3" s="2438"/>
      <c r="P3" s="2438"/>
    </row>
    <row r="4" spans="1:16" ht="14.4">
      <c r="A4" s="3251"/>
      <c r="B4" s="3252"/>
      <c r="C4" s="325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4" t="s">
        <v>1110</v>
      </c>
      <c r="C5" s="3254"/>
      <c r="D5" s="43">
        <f>ROUND($D$3*E5/$E$3,2)</f>
        <v>0</v>
      </c>
      <c r="E5" s="44">
        <f>SUMIF('数据-基础表'!$11:$11,"住宅",'数据-基础表'!$5:$5)</f>
        <v>32.25</v>
      </c>
      <c r="F5" s="2438"/>
      <c r="G5" s="42"/>
      <c r="H5" s="43" t="s">
        <v>1106</v>
      </c>
      <c r="I5" s="802" t="e">
        <f>ROUND(E31/D31,2)</f>
        <v>#DIV/0!</v>
      </c>
      <c r="J5" s="2438"/>
      <c r="K5" s="2438"/>
      <c r="L5" s="2438"/>
      <c r="M5" s="2438"/>
      <c r="N5" s="2438"/>
      <c r="O5" s="2438"/>
      <c r="P5" s="2438"/>
    </row>
    <row r="6" spans="1:16" ht="15" thickBot="1">
      <c r="A6" s="1527"/>
      <c r="B6" s="3254" t="s">
        <v>1111</v>
      </c>
      <c r="C6" s="3254"/>
      <c r="D6" s="43">
        <f>ROUND($D$3*E6/$E$3,2)</f>
        <v>0</v>
      </c>
      <c r="E6" s="44">
        <f>E3-E5</f>
        <v>0</v>
      </c>
      <c r="F6" s="2438"/>
      <c r="G6" s="1529" t="s">
        <v>1112</v>
      </c>
      <c r="H6" s="45" t="s">
        <v>1113</v>
      </c>
      <c r="I6" s="2434" t="e">
        <f>ROUND(F31/D31,2)</f>
        <v>#DIV/0!</v>
      </c>
      <c r="J6" s="2438"/>
      <c r="K6" s="2438"/>
      <c r="L6" s="2438"/>
      <c r="M6" s="2438"/>
      <c r="N6" s="2438"/>
      <c r="O6" s="2438"/>
      <c r="P6" s="2438"/>
    </row>
    <row r="7" spans="1:16" ht="15" thickBot="1">
      <c r="A7" s="3246"/>
      <c r="B7" s="3247"/>
      <c r="C7" s="3248"/>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32.25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32.25</v>
      </c>
      <c r="F16" s="2438"/>
      <c r="G16" s="2438"/>
      <c r="H16" s="1531" t="s">
        <v>1135</v>
      </c>
      <c r="I16" s="1532"/>
      <c r="J16" s="1071"/>
      <c r="K16" s="3243" t="s">
        <v>1135</v>
      </c>
      <c r="L16" s="3244"/>
      <c r="M16" s="3244"/>
      <c r="N16" s="3244"/>
      <c r="O16" s="3244"/>
      <c r="P16" s="3245"/>
    </row>
    <row r="17" spans="1:19" ht="14.4">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3493</v>
      </c>
      <c r="D19" s="43">
        <f>ROUND($D$3*E19/$E$3,2)</f>
        <v>0</v>
      </c>
      <c r="E19" s="51">
        <f t="shared" ref="E19:E26" si="1">SUM(F19:G19)</f>
        <v>32.25</v>
      </c>
      <c r="F19" s="2557">
        <f>'数据-基础表'!I13</f>
        <v>32.25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32.25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32.25</v>
      </c>
      <c r="F27" s="1072">
        <f>IF(SUM(F19:F26)=E8,SUM(F19:F26),"地上面积有误")</f>
        <v>32.25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32.25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32.25</v>
      </c>
      <c r="F31" s="644">
        <f>F27+F30</f>
        <v>32.25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V6" sqref="V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11.33203125"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车位</v>
      </c>
      <c r="B6" s="1587" t="str">
        <f>IF(A6=0,"","经营性")</f>
        <v>经营性</v>
      </c>
      <c r="C6" s="1588" t="s">
        <v>3331</v>
      </c>
      <c r="D6" s="805">
        <f>SUMIF(项目基本情况!C$12:I$12,C6,项目基本情况!C$14:I$14)</f>
        <v>50</v>
      </c>
      <c r="E6" s="804">
        <f>IF(B6="","",SUMIF(项目基本情况!C$12:I$12,C6,项目基本情况!C$13:I$13))</f>
        <v>56285</v>
      </c>
      <c r="F6" s="61">
        <f>SUMIF(项目基本情况!C$12:I$12,C6,项目基本情况!C$15:I$15)</f>
        <v>28.89</v>
      </c>
      <c r="G6" s="62">
        <f>IF(ISERROR(ROUND(POWER(1+H6,D6-F6)*(POWER(1+H6,F6)-1)/(POWER(1+H6,D6)-1),3)),0,ROUND(POWER(1+H6,D6-F6)*(POWER(1+H6,F6)-1)/(POWER(1+H6,D6)-1),3))</f>
        <v>0</v>
      </c>
      <c r="H6" s="691"/>
      <c r="I6" s="691">
        <v>0.04</v>
      </c>
      <c r="J6" s="63"/>
      <c r="K6" s="970">
        <f>SUMIF('数据-汇总表'!C$19:C$33,A6,'数据-汇总表'!E$19:E$33)</f>
        <v>32.25</v>
      </c>
      <c r="L6" s="692">
        <v>4500</v>
      </c>
      <c r="M6" s="64">
        <f t="shared" ref="M6:M14" si="0">ROUND(K6*L6/10000,0)</f>
        <v>15</v>
      </c>
      <c r="N6" s="690">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500</v>
      </c>
      <c r="V6" s="67">
        <v>0.02</v>
      </c>
      <c r="W6" s="67">
        <v>0.1</v>
      </c>
      <c r="X6" s="979"/>
      <c r="Y6" s="68">
        <f>N6</f>
        <v>0.75</v>
      </c>
      <c r="Z6" s="69"/>
      <c r="AA6" s="63"/>
      <c r="AB6" s="63"/>
      <c r="AC6" s="979"/>
      <c r="AD6" s="70"/>
      <c r="AE6" s="980">
        <f ca="1">IF(AN6="",0,SUMIF(INDIRECT("'"&amp;AN6&amp;"'"&amp;"!E:E"),$AE$5,INDIRECT("'"&amp;AN6&amp;"'"&amp;"!F:F")))</f>
        <v>28.89</v>
      </c>
      <c r="AF6" s="74"/>
      <c r="AG6" s="130">
        <f>IF(AF6="",0,AE6-AF6)</f>
        <v>0</v>
      </c>
      <c r="AH6" s="71">
        <v>1</v>
      </c>
      <c r="AI6" s="73">
        <v>12</v>
      </c>
      <c r="AJ6" s="74"/>
      <c r="AK6" s="75">
        <v>2E-3</v>
      </c>
      <c r="AL6" s="76">
        <v>1E-3</v>
      </c>
      <c r="AM6" s="77">
        <v>0.01</v>
      </c>
      <c r="AN6" s="1589" t="s">
        <v>3410</v>
      </c>
      <c r="AO6" s="50">
        <f ca="1">SUMIF(INDIRECT("'"&amp;AN6&amp;"'"&amp;"!A:A"),"总价",INDIRECT("'"&amp;AN6&amp;"'"&amp;"!B:B"))</f>
        <v>17.928599999999999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32.25</v>
      </c>
      <c r="L16" s="87">
        <f>ROUND(M16*10000/SUM(K6:K14),0)</f>
        <v>4651</v>
      </c>
      <c r="M16" s="87">
        <f>SUM(M6:M14)</f>
        <v>15</v>
      </c>
      <c r="N16" s="88">
        <f>ROUND(SUMPRODUCT(M6:M14,N6:N14)/M16,3)</f>
        <v>0.75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ROUND(1-(2025-2008)/60,2)</f>
        <v>0.72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 ca="1">'成本法 (元)'!C9</f>
        <v>0</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0.1</v>
      </c>
      <c r="C33" s="2564" t="s">
        <v>3384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0.01</v>
      </c>
      <c r="C37" s="2564" t="s">
        <v>3385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0.03</v>
      </c>
      <c r="C38" s="2564" t="s">
        <v>3386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3435</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32.25</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45737</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21</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3354</v>
      </c>
      <c r="D10" s="2299" t="s">
        <v>3355</v>
      </c>
      <c r="E10" s="3136"/>
      <c r="F10" s="3140" t="s">
        <v>3356</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项目基本情况!C17</f>
        <v>32.25</v>
      </c>
      <c r="C14" s="2305"/>
      <c r="D14" s="2305">
        <f ca="1">结果表!G19</f>
        <v>21</v>
      </c>
      <c r="E14" s="2305">
        <f ca="1">结果表!G20</f>
        <v>6398</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8" sqref="D8:D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3407</v>
      </c>
      <c r="D1" s="646"/>
      <c r="E1" s="646"/>
      <c r="F1" s="1621" t="s">
        <v>1263</v>
      </c>
      <c r="G1" s="1453" t="s">
        <v>3477</v>
      </c>
      <c r="H1" s="1621" t="str">
        <f>IF(G1="现房","——","估价对象范围")</f>
        <v>——</v>
      </c>
      <c r="I1" s="1622" t="s">
        <v>3478</v>
      </c>
    </row>
    <row r="2" spans="1:12" ht="21.75" customHeight="1" thickBot="1">
      <c r="A2" s="3324" t="str">
        <f>项目基本情况!S2</f>
        <v>北京市房地产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4" t="s">
        <v>1265</v>
      </c>
      <c r="B4" s="1625" t="s">
        <v>1266</v>
      </c>
      <c r="C4" s="1626" t="s">
        <v>3410</v>
      </c>
      <c r="D4" s="1626" t="s">
        <v>3495</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72" t="s">
        <v>1268</v>
      </c>
      <c r="B5" s="3327">
        <v>25</v>
      </c>
      <c r="C5" s="3330">
        <v>7</v>
      </c>
      <c r="D5" s="3318">
        <f>10-C5</f>
        <v>3</v>
      </c>
      <c r="E5" s="123" t="s">
        <v>1269</v>
      </c>
      <c r="F5" s="1627"/>
      <c r="G5" s="1627"/>
      <c r="H5" s="1627"/>
      <c r="I5" s="1281"/>
    </row>
    <row r="6" spans="1:12" ht="13.2">
      <c r="A6" s="3272"/>
      <c r="B6" s="3327"/>
      <c r="C6" s="3332"/>
      <c r="D6" s="3318"/>
      <c r="E6" s="123" t="s">
        <v>1270</v>
      </c>
      <c r="F6" s="1627"/>
      <c r="G6" s="1627"/>
      <c r="H6" s="1627"/>
      <c r="I6" s="1281"/>
    </row>
    <row r="7" spans="1:12" ht="13.2">
      <c r="A7" s="3272"/>
      <c r="B7" s="3327"/>
      <c r="C7" s="3331"/>
      <c r="D7" s="3318"/>
      <c r="E7" s="123" t="s">
        <v>1271</v>
      </c>
      <c r="F7" s="1627"/>
      <c r="G7" s="1627"/>
      <c r="H7" s="1627"/>
      <c r="I7" s="1281"/>
    </row>
    <row r="8" spans="1:12" ht="13.2">
      <c r="A8" s="3272" t="s">
        <v>1272</v>
      </c>
      <c r="B8" s="3327">
        <v>15</v>
      </c>
      <c r="C8" s="3330"/>
      <c r="D8" s="3318"/>
      <c r="E8" s="123" t="s">
        <v>1273</v>
      </c>
      <c r="F8" s="1627"/>
      <c r="G8" s="1627"/>
      <c r="H8" s="1627"/>
      <c r="I8" s="1281"/>
    </row>
    <row r="9" spans="1:12" ht="13.2">
      <c r="A9" s="3272"/>
      <c r="B9" s="3327"/>
      <c r="C9" s="3331"/>
      <c r="D9" s="3318"/>
      <c r="E9" s="123" t="s">
        <v>1274</v>
      </c>
      <c r="F9" s="1627"/>
      <c r="G9" s="1627"/>
      <c r="H9" s="1627"/>
      <c r="I9" s="1281"/>
    </row>
    <row r="10" spans="1:12" ht="13.2">
      <c r="A10" s="3272" t="s">
        <v>1275</v>
      </c>
      <c r="B10" s="3327">
        <v>15</v>
      </c>
      <c r="C10" s="3330"/>
      <c r="D10" s="3318"/>
      <c r="E10" s="123" t="s">
        <v>1276</v>
      </c>
      <c r="F10" s="1627"/>
      <c r="G10" s="1627"/>
      <c r="H10" s="1627"/>
      <c r="I10" s="1281"/>
    </row>
    <row r="11" spans="1:12" ht="13.2">
      <c r="A11" s="3272"/>
      <c r="B11" s="3327"/>
      <c r="C11" s="3331"/>
      <c r="D11" s="3318"/>
      <c r="E11" s="123" t="s">
        <v>1277</v>
      </c>
      <c r="F11" s="1627"/>
      <c r="G11" s="1627"/>
      <c r="H11" s="1627"/>
      <c r="I11" s="1281"/>
    </row>
    <row r="12" spans="1:12" ht="13.2">
      <c r="A12" s="3272" t="s">
        <v>1278</v>
      </c>
      <c r="B12" s="3327">
        <v>15</v>
      </c>
      <c r="C12" s="3330"/>
      <c r="D12" s="3318"/>
      <c r="E12" s="123" t="s">
        <v>1279</v>
      </c>
      <c r="F12" s="1627"/>
      <c r="G12" s="1627"/>
      <c r="H12" s="1627"/>
      <c r="I12" s="1281"/>
    </row>
    <row r="13" spans="1:12" ht="13.2">
      <c r="A13" s="3272"/>
      <c r="B13" s="3327"/>
      <c r="C13" s="3331"/>
      <c r="D13" s="3318"/>
      <c r="E13" s="123" t="s">
        <v>1280</v>
      </c>
      <c r="F13" s="1627"/>
      <c r="G13" s="1627"/>
      <c r="H13" s="1627"/>
      <c r="I13" s="1281"/>
    </row>
    <row r="14" spans="1:12" ht="13.2">
      <c r="A14" s="3272" t="s">
        <v>1281</v>
      </c>
      <c r="B14" s="3327">
        <v>30</v>
      </c>
      <c r="C14" s="3330"/>
      <c r="D14" s="3318"/>
      <c r="E14" s="123" t="s">
        <v>1282</v>
      </c>
      <c r="F14" s="1627"/>
      <c r="G14" s="1627"/>
      <c r="H14" s="1627"/>
      <c r="I14" s="1281"/>
    </row>
    <row r="15" spans="1:12" ht="13.2">
      <c r="A15" s="3272"/>
      <c r="B15" s="3327"/>
      <c r="C15" s="3332"/>
      <c r="D15" s="3318"/>
      <c r="E15" s="123" t="s">
        <v>1283</v>
      </c>
      <c r="F15" s="1627"/>
      <c r="G15" s="1627"/>
      <c r="H15" s="1627"/>
      <c r="I15" s="1281"/>
    </row>
    <row r="16" spans="1:12" ht="13.2">
      <c r="A16" s="3272"/>
      <c r="B16" s="3327"/>
      <c r="C16" s="3331"/>
      <c r="D16" s="3318"/>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9" t="s">
        <v>2131</v>
      </c>
      <c r="F18" s="3350"/>
      <c r="G18" s="3350"/>
      <c r="H18" s="3350"/>
      <c r="I18" s="3350"/>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17.928599999999999</v>
      </c>
      <c r="D19" s="127">
        <f ca="1">SUMIF(INDIRECT("'"&amp;D4&amp;"'"&amp;"!A:A"),结果表!B19,INDIRECT("'"&amp;D4&amp;"'"&amp;"!B:B"))</f>
        <v>26.951699999999999</v>
      </c>
      <c r="E19" s="1630" t="s">
        <v>1292</v>
      </c>
      <c r="F19" s="1631" t="s">
        <v>1291</v>
      </c>
      <c r="G19" s="128">
        <f ca="1">ROUND(C19*$C$18+D19*$D$18,0)</f>
        <v>21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5559</v>
      </c>
      <c r="D20" s="130">
        <f ca="1">SUMIF(INDIRECT("'"&amp;D4&amp;"'"&amp;"!A:A"),结果表!B20,INDIRECT("'"&amp;D4&amp;"'"&amp;"!B:B"))</f>
        <v>8357</v>
      </c>
      <c r="E20" s="1633"/>
      <c r="F20" s="43" t="s">
        <v>1295</v>
      </c>
      <c r="G20" s="131">
        <f ca="1">ROUND(C20*$C$18+D20*$D$18,0)</f>
        <v>6398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0.50327967604832491</v>
      </c>
      <c r="E22" s="121"/>
      <c r="F22" s="121"/>
      <c r="G22" s="121"/>
      <c r="H22" s="121"/>
      <c r="I22" s="121"/>
    </row>
    <row r="23" spans="1:36" ht="13.8" thickBot="1">
      <c r="A23" s="646"/>
      <c r="B23" s="646"/>
      <c r="C23" s="646"/>
      <c r="D23" s="646"/>
      <c r="E23" s="121"/>
      <c r="F23" s="121"/>
      <c r="G23" s="121"/>
      <c r="H23" s="121"/>
      <c r="I23" s="121"/>
    </row>
    <row r="24" spans="1:36" ht="14.4">
      <c r="A24" s="3342" t="s">
        <v>1299</v>
      </c>
      <c r="B24" s="1631" t="s">
        <v>1291</v>
      </c>
      <c r="C24" s="128">
        <f>IF(B30=0,0,D30)</f>
        <v>0</v>
      </c>
      <c r="D24" s="1637"/>
      <c r="E24" s="121"/>
      <c r="F24" s="121"/>
      <c r="G24" s="121"/>
      <c r="H24" s="121"/>
      <c r="I24" s="121"/>
    </row>
    <row r="25" spans="1:36" ht="14.4">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6398</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9" t="s">
        <v>1312</v>
      </c>
      <c r="B36" s="1652" t="s">
        <v>1313</v>
      </c>
      <c r="C36" s="137"/>
      <c r="D36" s="1653"/>
      <c r="E36" s="1567"/>
      <c r="F36" s="1654"/>
      <c r="G36" s="121"/>
      <c r="H36" s="121"/>
      <c r="I36" s="121"/>
    </row>
    <row r="37" spans="1:15" ht="15" thickBot="1">
      <c r="A37" s="3320"/>
      <c r="B37" s="1555" t="s">
        <v>1314</v>
      </c>
      <c r="C37" s="139"/>
      <c r="D37" s="1071"/>
      <c r="E37" s="1071"/>
      <c r="F37" s="1654"/>
      <c r="G37" s="121"/>
      <c r="H37" s="121"/>
      <c r="I37" s="121"/>
    </row>
    <row r="38" spans="1:15" ht="15" thickBot="1">
      <c r="A38" s="332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t="e">
        <f ca="1">ROUND(H101*F45,0)</f>
        <v>#REF!</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45737</v>
      </c>
      <c r="N47" s="3262"/>
      <c r="O47" s="3262"/>
    </row>
    <row r="48" spans="1:15" ht="26.4">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0" t="s">
        <v>1340</v>
      </c>
      <c r="L48" s="3260"/>
      <c r="M48" s="3263" t="e">
        <f ca="1">H101</f>
        <v>#REF!</v>
      </c>
      <c r="N48" s="3263"/>
      <c r="O48" s="3263"/>
    </row>
    <row r="49" spans="1:35" ht="25.5" customHeight="1">
      <c r="A49" s="2152" t="s">
        <v>1341</v>
      </c>
      <c r="B49" s="3308" t="s">
        <v>1342</v>
      </c>
      <c r="C49" s="3308"/>
      <c r="D49" s="1478">
        <v>0</v>
      </c>
      <c r="E49" s="316" t="s">
        <v>1343</v>
      </c>
      <c r="F49" s="2232" t="s">
        <v>28</v>
      </c>
      <c r="G49" s="3291"/>
      <c r="H49" s="2134" t="s">
        <v>2134</v>
      </c>
      <c r="I49" s="2135"/>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9"/>
      <c r="E50" s="323"/>
      <c r="F50" s="2232"/>
      <c r="G50" s="3292"/>
      <c r="H50" s="2136" t="s">
        <v>2135</v>
      </c>
      <c r="I50" s="2135"/>
      <c r="J50" s="3259" t="s">
        <v>1345</v>
      </c>
      <c r="K50" s="3259"/>
      <c r="L50" s="3259"/>
      <c r="M50" s="3259"/>
      <c r="N50" s="3259"/>
      <c r="O50" s="3259"/>
    </row>
    <row r="51" spans="1:35" ht="20.399999999999999" customHeight="1">
      <c r="A51" s="2338"/>
      <c r="B51" s="3308" t="s">
        <v>1346</v>
      </c>
      <c r="C51" s="3308"/>
      <c r="D51" s="1024"/>
      <c r="E51" s="319"/>
      <c r="F51" s="2232"/>
      <c r="G51" s="3293"/>
      <c r="H51" s="2136" t="s">
        <v>2136</v>
      </c>
      <c r="I51" s="2135"/>
      <c r="J51" s="2310" t="s">
        <v>1347</v>
      </c>
      <c r="K51" s="3260" t="s">
        <v>1348</v>
      </c>
      <c r="L51" s="3260"/>
      <c r="M51" s="2310" t="s">
        <v>1349</v>
      </c>
      <c r="N51" s="2310" t="s">
        <v>1350</v>
      </c>
      <c r="O51" s="2310" t="s">
        <v>1351</v>
      </c>
    </row>
    <row r="52" spans="1:35" ht="24" customHeight="1">
      <c r="A52" s="2153" t="s">
        <v>1352</v>
      </c>
      <c r="B52" s="3308" t="s">
        <v>1353</v>
      </c>
      <c r="C52" s="3308"/>
      <c r="D52" s="1024" t="e">
        <f ca="1">ROUND(D45*'数据-取费表'!B41/(1+'数据-取费表'!C42),0)</f>
        <v>#REF!</v>
      </c>
      <c r="E52" s="1256" t="s">
        <v>1354</v>
      </c>
      <c r="F52" s="2339">
        <f>'数据-取费表'!B41</f>
        <v>5.6000000000000001E-2</v>
      </c>
      <c r="G52" s="2340"/>
      <c r="H52" s="2330"/>
      <c r="I52" s="1669"/>
      <c r="J52" s="2309">
        <v>1</v>
      </c>
      <c r="K52" s="3285" t="s">
        <v>1355</v>
      </c>
      <c r="L52" s="3285"/>
      <c r="M52" s="2311" t="b">
        <f>D48</f>
        <v>0</v>
      </c>
      <c r="N52" s="2309" t="str">
        <f>E48</f>
        <v>销售额×税（费）率</v>
      </c>
      <c r="O52" s="2312">
        <f>F48</f>
        <v>5.6000000000000001E-2</v>
      </c>
    </row>
    <row r="53" spans="1:35" ht="12" customHeight="1">
      <c r="A53" s="2153" t="s">
        <v>1356</v>
      </c>
      <c r="B53" s="3309" t="s">
        <v>2291</v>
      </c>
      <c r="C53" s="3310"/>
      <c r="D53" s="1024" t="e">
        <f ca="1">ROUND(D45*'数据-取费表'!B41/(1+'数据-取费表'!C42),0)</f>
        <v>#REF!</v>
      </c>
      <c r="E53" s="1256" t="s">
        <v>1354</v>
      </c>
      <c r="F53" s="2339">
        <f>'数据-取费表'!B41</f>
        <v>5.6000000000000001E-2</v>
      </c>
      <c r="G53" s="2340"/>
      <c r="H53" s="2330"/>
      <c r="I53" s="1669"/>
      <c r="J53" s="2309">
        <v>2</v>
      </c>
      <c r="K53" s="3285" t="s">
        <v>1357</v>
      </c>
      <c r="L53" s="3285"/>
      <c r="M53" s="2311" t="e">
        <f t="shared" ref="M53:O54" ca="1" si="0">D55</f>
        <v>#REF!</v>
      </c>
      <c r="N53" s="2309" t="str">
        <f t="shared" si="0"/>
        <v>销售额×税（费）率</v>
      </c>
      <c r="O53" s="2312" t="str">
        <f t="shared" si="0"/>
        <v>免征</v>
      </c>
    </row>
    <row r="54" spans="1:35" ht="12" customHeight="1">
      <c r="A54" s="2153" t="s">
        <v>1358</v>
      </c>
      <c r="B54" s="3309" t="s">
        <v>2292</v>
      </c>
      <c r="C54" s="3310"/>
      <c r="D54" s="1024" t="e">
        <f ca="1">C68</f>
        <v>#REF!</v>
      </c>
      <c r="E54" s="319" t="s">
        <v>1359</v>
      </c>
      <c r="F54" s="2339">
        <f>'数据-取费表'!B41</f>
        <v>5.6000000000000001E-2</v>
      </c>
      <c r="G54" s="2340"/>
      <c r="H54" s="2341"/>
      <c r="I54" s="1669"/>
      <c r="J54" s="2309">
        <v>3</v>
      </c>
      <c r="K54" s="3285" t="s">
        <v>1360</v>
      </c>
      <c r="L54" s="3285"/>
      <c r="M54" s="2311" t="e">
        <f t="shared" ca="1" si="0"/>
        <v>#REF!</v>
      </c>
      <c r="N54" s="2309" t="str">
        <f t="shared" si="0"/>
        <v>增值额×税（费）率</v>
      </c>
      <c r="O54" s="2313" t="str">
        <f t="shared" si="0"/>
        <v>免征</v>
      </c>
    </row>
    <row r="55" spans="1:35" ht="24" customHeight="1">
      <c r="A55" s="3345" t="s">
        <v>1361</v>
      </c>
      <c r="B55" s="3323"/>
      <c r="C55" s="3323"/>
      <c r="D55" s="12" t="e">
        <f ca="1">IF(H55="个人住宅",0,ROUND(D45*I55,0))</f>
        <v>#REF!</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t="e">
        <f ca="1">D59</f>
        <v>#REF!</v>
      </c>
      <c r="N55" s="1883" t="str">
        <f>E59</f>
        <v>差额计税</v>
      </c>
      <c r="O55" s="2315">
        <f>F59</f>
        <v>0.01</v>
      </c>
    </row>
    <row r="56" spans="1:35" ht="25.2">
      <c r="A56" s="3345" t="s">
        <v>1363</v>
      </c>
      <c r="B56" s="3323"/>
      <c r="C56" s="3323"/>
      <c r="D56" s="12" t="e">
        <f ca="1">IF(H56="个人住宅",D57,D58)</f>
        <v>#REF!</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1341</v>
      </c>
      <c r="B57" s="3309" t="s">
        <v>1366</v>
      </c>
      <c r="C57" s="3310"/>
      <c r="D57" s="1478">
        <v>0</v>
      </c>
      <c r="E57" s="316" t="s">
        <v>1343</v>
      </c>
      <c r="F57" s="294"/>
      <c r="G57" s="2340"/>
      <c r="H57" s="2344"/>
      <c r="I57" s="1670"/>
      <c r="J57" s="3285">
        <f>IF(AND(J55="",J56=""),4,IF(项目基本情况!K6="上海银行",结果表!J56+1,结果表!J55+1))</f>
        <v>5</v>
      </c>
      <c r="K57" s="3285" t="s">
        <v>1367</v>
      </c>
      <c r="L57" s="2316" t="s">
        <v>1368</v>
      </c>
      <c r="M57" s="2317"/>
      <c r="N57" s="2318">
        <f ca="1">SUMIF(M52:M56,"&lt;9e307")</f>
        <v>0</v>
      </c>
      <c r="O57" s="2319"/>
      <c r="P57" s="2464" t="e">
        <f ca="1">N57/M49</f>
        <v>#VALUE!</v>
      </c>
    </row>
    <row r="58" spans="1:35" ht="25.2">
      <c r="A58" s="2153" t="s">
        <v>1352</v>
      </c>
      <c r="B58" s="3309" t="s">
        <v>1369</v>
      </c>
      <c r="C58" s="3308"/>
      <c r="D58" s="12" t="e">
        <f ca="1">IF(H58="转让取得",C81,C97)</f>
        <v>#REF!</v>
      </c>
      <c r="E58" s="1256" t="s">
        <v>1364</v>
      </c>
      <c r="F58" s="294" t="s">
        <v>28</v>
      </c>
      <c r="G58" s="2340"/>
      <c r="H58" s="2343"/>
      <c r="I58" s="1670"/>
      <c r="J58" s="3285"/>
      <c r="K58" s="3285"/>
      <c r="L58" s="2316" t="s">
        <v>1370</v>
      </c>
      <c r="M58" s="2320"/>
      <c r="N58" s="2321" t="str">
        <f ca="1">NUMBERSTRING(INT(N57*10000),2)&amp;"元整"</f>
        <v>零元整</v>
      </c>
      <c r="O58" s="2322"/>
    </row>
    <row r="59" spans="1:35" ht="24.6" thickBot="1">
      <c r="A59" s="3289" t="s">
        <v>1371</v>
      </c>
      <c r="B59" s="3290"/>
      <c r="C59" s="329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8"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3.2">
      <c r="A62" s="3304" t="s">
        <v>1375</v>
      </c>
      <c r="B62" s="3305"/>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0" t="s">
        <v>2129</v>
      </c>
      <c r="H90" s="327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70" t="str">
        <f>C4</f>
        <v>收益法 (元)</v>
      </c>
      <c r="D101" s="2371" t="str">
        <f>D4</f>
        <v>成本法 (元)</v>
      </c>
      <c r="E101" s="3264" t="s">
        <v>1431</v>
      </c>
      <c r="F101" s="3265"/>
      <c r="G101" s="1687" t="s">
        <v>1432</v>
      </c>
      <c r="H101" s="2380" t="e">
        <f ca="1">H118</f>
        <v>#REF!</v>
      </c>
      <c r="I101" s="121"/>
    </row>
    <row r="102" spans="1:35" ht="18.75" customHeight="1">
      <c r="A102" s="3296" t="s">
        <v>1433</v>
      </c>
      <c r="B102" s="2369" t="s">
        <v>1432</v>
      </c>
      <c r="C102" s="2370">
        <f ca="1">IF(D32="楼面单价",ROUND(C19,0),C19)</f>
        <v>17.928599999999999</v>
      </c>
      <c r="D102" s="2371">
        <f ca="1">IF(D32="楼面单价",ROUND(D19,0),D19)</f>
        <v>26.951699999999999</v>
      </c>
      <c r="E102" s="3264"/>
      <c r="F102" s="3265"/>
      <c r="G102" s="1687" t="s">
        <v>1434</v>
      </c>
      <c r="H102" s="2340" t="e">
        <f ca="1">I118</f>
        <v>#REF!</v>
      </c>
      <c r="I102" s="121"/>
    </row>
    <row r="103" spans="1:35" ht="42.75" customHeight="1">
      <c r="A103" s="3296"/>
      <c r="B103" s="2369" t="s">
        <v>1434</v>
      </c>
      <c r="C103" s="2372">
        <f ca="1">C20</f>
        <v>5559</v>
      </c>
      <c r="D103" s="2373">
        <f ca="1">D20</f>
        <v>8357</v>
      </c>
      <c r="E103" s="3257" t="s">
        <v>1435</v>
      </c>
      <c r="F103" s="3258"/>
      <c r="G103" s="1688" t="s">
        <v>1436</v>
      </c>
      <c r="H103" s="2380">
        <f>IF(D36="正常操作",H104+H105+H106,H105+H106)</f>
        <v>0</v>
      </c>
      <c r="I103" s="121"/>
    </row>
    <row r="104" spans="1:35" ht="18.75" customHeight="1">
      <c r="A104" s="329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t="e">
        <f ca="1">IF(E107="——","——",H101-H103)</f>
        <v>#REF!</v>
      </c>
      <c r="I107" s="121"/>
    </row>
    <row r="108" spans="1:35" ht="18.75" customHeight="1">
      <c r="A108" s="121"/>
      <c r="B108" s="121"/>
      <c r="C108" s="121"/>
      <c r="D108" s="121"/>
      <c r="E108" s="3297"/>
      <c r="F108" s="3265"/>
      <c r="G108" s="1687" t="s">
        <v>1434</v>
      </c>
      <c r="H108" s="2340">
        <f ca="1">IF(H107=H101,H102,ROUND(H107*10000/'数据-汇总表'!E3,0))</f>
        <v>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278" t="e">
        <f ca="1">NUMBERSTRING(INT(D118*10000),2)&amp;"元整"</f>
        <v>#REF!</v>
      </c>
      <c r="E119" s="3279"/>
      <c r="F119" s="3278" t="e">
        <f ca="1">NUMBERSTRING(INT(F118*10000),2)&amp;"元整"</f>
        <v>#REF!</v>
      </c>
      <c r="G119" s="3279"/>
      <c r="H119" s="3278" t="e">
        <f ca="1">NUMBERSTRING(INT(H118*10000),2)&amp;"元整"</f>
        <v>#REF!</v>
      </c>
      <c r="I119" s="3279"/>
    </row>
    <row r="120" spans="1:27" ht="18.75" customHeight="1">
      <c r="A120" s="3273" t="str">
        <f>IF(项目基本情况!B9="房地产市场价值","",MID(E103,3,LEN(E103)-2))</f>
        <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
      </c>
      <c r="B122" s="3284"/>
      <c r="C122" s="3284"/>
      <c r="D122" s="3273" t="e">
        <f ca="1">H107</f>
        <v>#REF!</v>
      </c>
      <c r="E122" s="3274"/>
      <c r="F122" s="3274"/>
      <c r="G122" s="3274"/>
      <c r="H122" s="3274"/>
      <c r="I122" s="3275"/>
      <c r="AA122" s="684"/>
    </row>
    <row r="123" spans="1:27" ht="18.75" customHeight="1">
      <c r="A123" s="3272" t="s">
        <v>1452</v>
      </c>
      <c r="B123" s="3272"/>
      <c r="C123" s="3272"/>
      <c r="D123" s="3278" t="e">
        <f ca="1">NUMBERSTRING(INT(D122*10000),2)&amp;"元整"</f>
        <v>#REF!</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5581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32.25</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32.25</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32.25</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8.9999999999999998E-4</v>
      </c>
      <c r="D44" s="230"/>
      <c r="E44" s="230"/>
      <c r="F44" s="231"/>
      <c r="G44" s="3353"/>
    </row>
    <row r="45" spans="1:7" s="206" customFormat="1" ht="13.5" customHeight="1">
      <c r="A45" s="247" t="s">
        <v>1547</v>
      </c>
      <c r="B45" s="236" t="s">
        <v>1513</v>
      </c>
      <c r="C45" s="237">
        <f ca="1">C46</f>
        <v>2</v>
      </c>
      <c r="D45" s="227">
        <f ca="1">C47</f>
        <v>3.0000000000000001E-3</v>
      </c>
      <c r="E45" s="228" t="s">
        <v>1539</v>
      </c>
      <c r="F45" s="238">
        <f ca="1">F27</f>
        <v>0.1</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17</v>
      </c>
      <c r="D51" s="224"/>
      <c r="E51" s="224"/>
      <c r="F51" s="256"/>
      <c r="G51" s="226" t="s">
        <v>1560</v>
      </c>
    </row>
    <row r="52" spans="1:7" s="200" customFormat="1" ht="16.8"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北京市房地产市场价值预评估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4" sqref="G2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64.5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t="s">
        <v>3407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t="s">
        <v>3426</v>
      </c>
      <c r="F3" s="1848" t="s">
        <v>3427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61"/>
      <c r="B4" s="3362"/>
      <c r="C4" s="3362"/>
      <c r="D4" s="3363"/>
      <c r="E4" s="3363"/>
      <c r="F4" s="3363"/>
      <c r="G4" s="3363"/>
      <c r="H4" s="3363"/>
      <c r="I4" s="3363"/>
      <c r="J4" s="33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21599</v>
      </c>
      <c r="D5" s="1252">
        <f>ROUND(C6*C17+C20,0)</f>
        <v>17850</v>
      </c>
      <c r="E5" s="1252"/>
      <c r="F5" s="1851"/>
      <c r="G5" s="1852"/>
      <c r="H5" s="1852"/>
      <c r="I5" s="1852"/>
      <c r="J5" s="1853"/>
      <c r="K5" s="1854"/>
      <c r="L5" s="1847" t="s">
        <v>1948</v>
      </c>
      <c r="M5" s="811">
        <f>SUMPRODUCT((区片价!B87:B126=I2)*(区片价!C3:G3=E2)*(区片价!C87:G126))</f>
        <v>17850</v>
      </c>
      <c r="N5" s="813">
        <f>SUMPRODUCT((因素修正幅度!B87:B126=I2)*(因素修正幅度!C3:G3=E2)*(因素修正幅度!C87:G126))</f>
        <v>9.5000000000000001E-2</v>
      </c>
      <c r="O5" s="1056"/>
      <c r="P5" s="1056"/>
      <c r="Q5" s="1056"/>
      <c r="R5" s="1129">
        <v>4</v>
      </c>
      <c r="S5" s="3063">
        <f>ROUND(SUMPRODUCT((B106:B110=R5)*(C105:N105=G2)*(C106:N110)),4)</f>
        <v>0.88239999999999996</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17850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t="str">
        <f>G2</f>
        <v>五级</v>
      </c>
      <c r="Y7" s="1131" t="s">
        <v>1956</v>
      </c>
      <c r="Z7" s="1132">
        <f>G3</f>
        <v>2.5</v>
      </c>
      <c r="AA7" s="1133"/>
      <c r="AB7" s="1133"/>
      <c r="AC7" s="1134"/>
      <c r="AD7" s="1135"/>
      <c r="AE7" s="1135"/>
      <c r="AF7" s="1135"/>
      <c r="AG7" s="1135"/>
      <c r="AH7" s="1135"/>
      <c r="AI7" s="1135"/>
      <c r="AJ7" s="1136"/>
    </row>
    <row r="8" spans="1:36" ht="26.4">
      <c r="A8" s="3009"/>
      <c r="B8" s="162" t="s">
        <v>1957</v>
      </c>
      <c r="C8" s="1870" t="s">
        <v>3429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58" t="s">
        <v>1960</v>
      </c>
      <c r="X8" s="33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60"/>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1.21</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3428</v>
      </c>
      <c r="E15" s="1888" t="s">
        <v>3496</v>
      </c>
      <c r="F15" s="1470" t="s">
        <v>3243</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v>1</v>
      </c>
      <c r="D16" s="3024">
        <v>1.1000000000000001</v>
      </c>
      <c r="E16" s="3024">
        <v>1.1000000000000001</v>
      </c>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5" t="s">
        <v>3253</v>
      </c>
      <c r="B20" s="159" t="s">
        <v>1994</v>
      </c>
      <c r="C20" s="3031">
        <f>ROUND(IF(F21="与级别开发程度一致",0,(G21-E21)/C21),0)</f>
        <v>0</v>
      </c>
      <c r="D20" s="3046" t="s">
        <v>1998</v>
      </c>
      <c r="E20" s="3047"/>
      <c r="F20" s="3371" t="s">
        <v>1995</v>
      </c>
      <c r="G20" s="33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1.0387999999999999</v>
      </c>
      <c r="D23" s="1896" t="s">
        <v>2002</v>
      </c>
      <c r="E23" s="717">
        <v>44197</v>
      </c>
      <c r="F23" s="1896" t="s">
        <v>2003</v>
      </c>
      <c r="G23" s="718">
        <f>'数据-取费表'!B2</f>
        <v>45737</v>
      </c>
      <c r="H23" s="3048" t="s">
        <v>3254</v>
      </c>
      <c r="I23" s="3049" t="str">
        <f>IF(H23="季度增幅（自定义）",SUMIF(N25:N28,E2,O25:O28),"")</f>
        <v/>
      </c>
      <c r="J23" s="3141" t="s">
        <v>3497</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0.05</v>
      </c>
      <c r="H24" s="1902" t="s">
        <v>2008</v>
      </c>
      <c r="I24" s="725" t="e">
        <f>SUMIF('数据-取费表'!C6:C15,E2,'数据-取费表'!F6:F15)/COUNTIF('数据-取费表'!C6:C15,E2)</f>
        <v>#DIV/0!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1.0421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f>'数据-基础表'!I13</f>
        <v>32.25</v>
      </c>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9"/>
      <c r="B37" s="1955" t="s">
        <v>2036</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4"/>
      <c r="K37" s="3061" t="s">
        <v>3264</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0"/>
      <c r="B38" s="1884" t="s">
        <v>2037</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0"/>
      <c r="B39" s="1884" t="s">
        <v>3257</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3999</v>
      </c>
      <c r="D41" s="1940"/>
      <c r="E41" s="163">
        <f t="shared" si="4"/>
        <v>0</v>
      </c>
      <c r="F41" s="167">
        <f>SUMIF(修正!A57:A68,G2,修正!F57:F68)</f>
        <v>0.25</v>
      </c>
      <c r="G41" s="163">
        <f>ROUND(IF(E2="工业",C41*$M$42,C41*$M$41),0)</f>
        <v>1000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2400</v>
      </c>
      <c r="D42" s="1945">
        <f>'数据-基础表'!I13</f>
        <v>32.25</v>
      </c>
      <c r="E42" s="179">
        <f t="shared" si="4"/>
        <v>8</v>
      </c>
      <c r="F42" s="723">
        <f>SUMIF(修正!A57:A68,G2,修正!G57:G68)</f>
        <v>0.15</v>
      </c>
      <c r="G42" s="179">
        <f>ROUND(IF(E2="工业",C42*$M$42,C42*$M$41),0)</f>
        <v>600</v>
      </c>
      <c r="H42" s="179">
        <f t="shared" si="5"/>
        <v>32.25</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0.82789999999999997</v>
      </c>
      <c r="D44" s="163" t="s">
        <v>1999</v>
      </c>
      <c r="E44" s="1991">
        <f>G24</f>
        <v>0.05</v>
      </c>
      <c r="F44" s="163" t="s">
        <v>2008</v>
      </c>
      <c r="G44" s="175">
        <f>项目基本情况!F15</f>
        <v>28.89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3423</v>
      </c>
      <c r="D72" s="1002">
        <f t="shared" ref="D72:D80" si="17">SUMIF($J$71:$N$71,C72,J72:N72)</f>
        <v>1.2999999999999999E-2</v>
      </c>
      <c r="E72" s="702">
        <f>ROUND(SUM(D72:D80),4)</f>
        <v>4.2099999999999999E-2</v>
      </c>
      <c r="F72" s="1675">
        <f>IF(E2="住宅",SUMIF(L1:L12,G2,N1:N12),"——")</f>
        <v>9.5000000000000001E-2</v>
      </c>
      <c r="G72" s="1000">
        <v>1.2999999999999999E-2</v>
      </c>
      <c r="H72" s="1003">
        <f t="shared" ref="H72:H80" si="18">IFERROR(ROUNDDOWN($F$72*I72/2,4),"——")</f>
        <v>9.4999999999999998E-3</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3431</v>
      </c>
      <c r="D73" s="1002">
        <f t="shared" si="17"/>
        <v>0</v>
      </c>
      <c r="E73" s="705"/>
      <c r="F73" s="1675"/>
      <c r="G73" s="1000">
        <v>1.6899999999999998E-2</v>
      </c>
      <c r="H73" s="1003">
        <f t="shared" si="18"/>
        <v>1.23E-2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48">
      <c r="A74" s="3070" t="s">
        <v>3267</v>
      </c>
      <c r="B74" s="1262">
        <f>估价对象房地状况!C19</f>
        <v>0</v>
      </c>
      <c r="C74" s="1887" t="s">
        <v>3423</v>
      </c>
      <c r="D74" s="1002">
        <f t="shared" si="17"/>
        <v>6.4999999999999997E-3</v>
      </c>
      <c r="E74" s="705"/>
      <c r="F74" s="1675"/>
      <c r="G74" s="1000">
        <v>6.4999999999999997E-3</v>
      </c>
      <c r="H74" s="1003">
        <f t="shared" si="18"/>
        <v>4.7000000000000002E-3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3432</v>
      </c>
      <c r="D75" s="1002">
        <f t="shared" si="17"/>
        <v>-3.2000000000000002E-3</v>
      </c>
      <c r="E75" s="705"/>
      <c r="F75" s="1675"/>
      <c r="G75" s="1000">
        <v>3.2000000000000002E-3</v>
      </c>
      <c r="H75" s="1003">
        <f t="shared" si="18"/>
        <v>2.3E-3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6.4">
      <c r="A76" s="1970" t="s">
        <v>2059</v>
      </c>
      <c r="B76" s="1240" t="str">
        <f>估价对象房地状况!C21</f>
        <v>估价对象所在区域公共配套设施齐备情况</v>
      </c>
      <c r="C76" s="1887" t="s">
        <v>3431</v>
      </c>
      <c r="D76" s="1002">
        <f t="shared" si="17"/>
        <v>0</v>
      </c>
      <c r="E76" s="705"/>
      <c r="F76" s="1675"/>
      <c r="G76" s="1000">
        <v>5.1999999999999998E-3</v>
      </c>
      <c r="H76" s="1003">
        <f t="shared" si="18"/>
        <v>3.8E-3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6.4">
      <c r="A77" s="1970" t="s">
        <v>2060</v>
      </c>
      <c r="B77" s="1240" t="str">
        <f>估价对象房地状况!C22</f>
        <v>估价对象所在区域基础设施水平</v>
      </c>
      <c r="C77" s="1887" t="s">
        <v>3424</v>
      </c>
      <c r="D77" s="1002">
        <f t="shared" si="17"/>
        <v>1.1599999999999999E-2</v>
      </c>
      <c r="E77" s="705"/>
      <c r="F77" s="1675"/>
      <c r="G77" s="1000">
        <v>5.7999999999999996E-3</v>
      </c>
      <c r="H77" s="1003">
        <f t="shared" si="18"/>
        <v>4.1999999999999997E-3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36">
      <c r="A78" s="1970" t="s">
        <v>2057</v>
      </c>
      <c r="B78" s="1975" t="s">
        <v>2058</v>
      </c>
      <c r="C78" s="1887" t="s">
        <v>3423</v>
      </c>
      <c r="D78" s="1002">
        <f t="shared" si="17"/>
        <v>3.2000000000000002E-3</v>
      </c>
      <c r="E78" s="705"/>
      <c r="F78" s="1675"/>
      <c r="G78" s="1000">
        <v>3.2000000000000002E-3</v>
      </c>
      <c r="H78" s="1003">
        <f t="shared" si="18"/>
        <v>2.3E-3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39.6">
      <c r="A79" s="1970" t="s">
        <v>2061</v>
      </c>
      <c r="B79" s="1973" t="str">
        <f>估价对象房地状况!C20</f>
        <v>区域自然环境：；人文环境；综合评价环境状况一般</v>
      </c>
      <c r="C79" s="1887" t="s">
        <v>3423</v>
      </c>
      <c r="D79" s="1002">
        <f t="shared" si="17"/>
        <v>7.7999999999999996E-3</v>
      </c>
      <c r="E79" s="705"/>
      <c r="F79" s="1675"/>
      <c r="G79" s="1000">
        <v>7.7999999999999996E-3</v>
      </c>
      <c r="H79" s="1003">
        <f t="shared" si="18"/>
        <v>5.7000000000000002E-3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36.6" thickBot="1">
      <c r="A80" s="1977" t="s">
        <v>2068</v>
      </c>
      <c r="B80" s="1981"/>
      <c r="C80" s="1887" t="s">
        <v>3423</v>
      </c>
      <c r="D80" s="1002">
        <f t="shared" si="17"/>
        <v>3.2000000000000002E-3</v>
      </c>
      <c r="E80" s="706"/>
      <c r="F80" s="1675"/>
      <c r="G80" s="1000">
        <v>3.2000000000000002E-3</v>
      </c>
      <c r="H80" s="1003">
        <f t="shared" si="18"/>
        <v>2.3E-3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3271</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3267</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3272</v>
      </c>
      <c r="B96" s="3086" t="s">
        <v>3283</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3274</v>
      </c>
      <c r="B98" s="3087" t="s">
        <v>3284</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3275</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3276</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3277</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7" t="s">
        <v>3292</v>
      </c>
      <c r="B103" s="3367"/>
      <c r="C103" s="3367"/>
      <c r="D103" s="3367"/>
      <c r="E103" s="3367"/>
      <c r="F103" s="3367"/>
      <c r="G103" s="3367"/>
      <c r="H103" s="3367"/>
      <c r="I103" s="3367"/>
      <c r="J103" s="3367"/>
      <c r="K103" s="1667"/>
      <c r="L103" s="1667"/>
      <c r="M103" s="1667"/>
      <c r="N103" s="1667"/>
    </row>
    <row r="104" spans="1:14">
      <c r="A104" s="3368" t="s">
        <v>3293</v>
      </c>
      <c r="B104" s="3368" t="s">
        <v>3294</v>
      </c>
      <c r="C104" s="3090" t="s">
        <v>3295</v>
      </c>
      <c r="D104" s="3091"/>
      <c r="E104" s="3091"/>
      <c r="F104" s="3091"/>
      <c r="G104" s="3091"/>
      <c r="H104" s="3091"/>
      <c r="I104" s="3091"/>
      <c r="J104" s="3092"/>
      <c r="K104" s="3093"/>
      <c r="L104" s="3093"/>
      <c r="M104" s="3093"/>
      <c r="N104" s="3093"/>
    </row>
    <row r="105" spans="1:14">
      <c r="A105" s="3368"/>
      <c r="B105" s="3368"/>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354"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5"/>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7" t="s">
        <v>3309</v>
      </c>
      <c r="B113" s="3357"/>
      <c r="C113" s="3357"/>
      <c r="D113" s="3357"/>
      <c r="E113" s="3357"/>
      <c r="F113" s="3357"/>
      <c r="G113" s="3357"/>
      <c r="H113" s="3357"/>
      <c r="I113" s="3357"/>
      <c r="J113" s="33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8"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F43" sqref="F43"/>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20.2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3407</v>
      </c>
      <c r="E1" s="3124" t="s">
        <v>3411</v>
      </c>
      <c r="F1" s="1735" t="s">
        <v>3436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35125</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6"/>
      <c r="M4" s="2487"/>
      <c r="N4" s="2487"/>
      <c r="O4" s="2487"/>
      <c r="P4" s="3397" t="s">
        <v>1672</v>
      </c>
      <c r="Q4" s="3398"/>
      <c r="R4" s="3378" t="s">
        <v>1668</v>
      </c>
      <c r="S4" s="3379"/>
      <c r="T4" s="3378" t="s">
        <v>1669</v>
      </c>
      <c r="U4" s="3379"/>
      <c r="V4" s="3405" t="s">
        <v>1670</v>
      </c>
      <c r="W4" s="3405"/>
      <c r="X4" s="1265"/>
      <c r="Y4" s="3378" t="s">
        <v>1672</v>
      </c>
      <c r="Z4" s="3379"/>
      <c r="AA4" s="3373" t="s">
        <v>1668</v>
      </c>
      <c r="AB4" s="3373" t="s">
        <v>1669</v>
      </c>
      <c r="AC4" s="3373" t="s">
        <v>1670</v>
      </c>
    </row>
    <row r="5" spans="1:29">
      <c r="A5" s="348"/>
      <c r="B5" s="349"/>
      <c r="C5" s="3384" t="s">
        <v>1673</v>
      </c>
      <c r="D5" s="3385"/>
      <c r="E5" s="3382" t="s">
        <v>3439</v>
      </c>
      <c r="F5" s="3383"/>
      <c r="G5" s="3388" t="s">
        <v>3458</v>
      </c>
      <c r="H5" s="3385"/>
      <c r="I5" s="3388" t="s">
        <v>3461</v>
      </c>
      <c r="J5" s="3385"/>
      <c r="K5" s="1745"/>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386" t="s">
        <v>1677</v>
      </c>
      <c r="D6" s="3387"/>
      <c r="E6" s="3389" t="s">
        <v>3440</v>
      </c>
      <c r="F6" s="3390"/>
      <c r="G6" s="3391" t="s">
        <v>3459</v>
      </c>
      <c r="H6" s="3387"/>
      <c r="I6" s="3391" t="s">
        <v>3462</v>
      </c>
      <c r="J6" s="3387"/>
      <c r="K6" s="1745"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45737</v>
      </c>
      <c r="D7" s="355">
        <v>100</v>
      </c>
      <c r="E7" s="356">
        <v>45681</v>
      </c>
      <c r="F7" s="357">
        <f>SUMIF(58:58,YEAR(E7)&amp;"-"&amp;MONTH(E7),59:59)</f>
        <v>100.5</v>
      </c>
      <c r="G7" s="356">
        <v>45625</v>
      </c>
      <c r="H7" s="355">
        <f>SUMIF(58:58,YEAR(G7)&amp;"-"&amp;MONTH(G7),59:59)</f>
        <v>100.5</v>
      </c>
      <c r="I7" s="356">
        <v>45616</v>
      </c>
      <c r="J7" s="355">
        <f>SUMIF(58:58,YEAR(I7)&amp;"-"&amp;MONTH(I7),59:59)</f>
        <v>100.5</v>
      </c>
      <c r="K7" s="1746"/>
      <c r="L7" s="2488"/>
      <c r="M7" s="2439"/>
      <c r="N7" s="2439"/>
      <c r="O7" s="2439"/>
      <c r="P7" s="3376" t="s">
        <v>1680</v>
      </c>
      <c r="Q7" s="3406"/>
      <c r="R7" s="664" t="s">
        <v>20</v>
      </c>
      <c r="S7" s="665">
        <f t="shared" ref="S7:S15" si="0">F7</f>
        <v>100.5</v>
      </c>
      <c r="T7" s="664" t="s">
        <v>20</v>
      </c>
      <c r="U7" s="665">
        <f t="shared" ref="U7:U15" si="1">H7</f>
        <v>100.5</v>
      </c>
      <c r="V7" s="664" t="s">
        <v>20</v>
      </c>
      <c r="W7" s="665">
        <f t="shared" ref="W7:W15" si="2">J7</f>
        <v>100.5</v>
      </c>
      <c r="X7" s="666"/>
      <c r="Y7" s="3376" t="s">
        <v>1680</v>
      </c>
      <c r="Z7" s="3377"/>
      <c r="AA7" s="50">
        <f>D7/F7</f>
        <v>0.99502487562189057</v>
      </c>
      <c r="AB7" s="50">
        <f>D7/H7</f>
        <v>0.99502487562189057</v>
      </c>
      <c r="AC7" s="50">
        <f>D7/J7</f>
        <v>0.99502487562189057</v>
      </c>
    </row>
    <row r="8" spans="1:29" s="102" customFormat="1" ht="15" thickBot="1">
      <c r="A8" s="352" t="s">
        <v>1681</v>
      </c>
      <c r="B8" s="353"/>
      <c r="C8" s="358" t="s">
        <v>3412</v>
      </c>
      <c r="D8" s="355">
        <v>100</v>
      </c>
      <c r="E8" s="1747" t="s">
        <v>3412</v>
      </c>
      <c r="F8" s="357">
        <f>SUMIF(61:61,E8,62:62)-SUMIF(61:61,C8,62:62)+100</f>
        <v>100</v>
      </c>
      <c r="G8" s="358" t="s">
        <v>3412</v>
      </c>
      <c r="H8" s="355">
        <f>SUMIF(61:61,G8,62:62)-SUMIF(61:61,C8,62:62)+100</f>
        <v>100</v>
      </c>
      <c r="I8" s="1747" t="s">
        <v>3412</v>
      </c>
      <c r="J8" s="355">
        <f>SUMIF(61:61,I8,62:62)-SUMIF(61:61,C8,62:62)+100</f>
        <v>100</v>
      </c>
      <c r="K8" s="1746"/>
      <c r="L8" s="2488"/>
      <c r="M8" s="2439"/>
      <c r="N8" s="2439"/>
      <c r="O8" s="2439"/>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ht="14.4">
      <c r="A9" s="359" t="s">
        <v>1684</v>
      </c>
      <c r="B9" s="60" t="s">
        <v>1685</v>
      </c>
      <c r="C9" s="3153" t="s">
        <v>3454</v>
      </c>
      <c r="D9" s="59">
        <v>100</v>
      </c>
      <c r="E9" s="361" t="s">
        <v>3407</v>
      </c>
      <c r="F9" s="60">
        <f>SUMIF(63:63,E9,64:64)-SUMIF(63:63,C9,64:64)+100</f>
        <v>100</v>
      </c>
      <c r="G9" s="362" t="s">
        <v>3407</v>
      </c>
      <c r="H9" s="59">
        <f>SUMIF(63:63,G9,64:64)-SUMIF(63:63,C9,64:64)+100</f>
        <v>100</v>
      </c>
      <c r="I9" s="362" t="s">
        <v>3407</v>
      </c>
      <c r="J9" s="59">
        <f>SUMIF(63:63,I9,64:64)-SUMIF(63:63,C9,64:64)+100</f>
        <v>100</v>
      </c>
      <c r="K9" s="1746"/>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92"/>
      <c r="Q11" s="530" t="str">
        <f t="shared" si="6"/>
        <v>容积率</v>
      </c>
      <c r="R11" s="664" t="s">
        <v>18</v>
      </c>
      <c r="S11" s="665">
        <f t="shared" si="0"/>
        <v>100</v>
      </c>
      <c r="T11" s="664" t="s">
        <v>18</v>
      </c>
      <c r="U11" s="665">
        <f t="shared" si="1"/>
        <v>100</v>
      </c>
      <c r="V11" s="664" t="s">
        <v>18</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2"/>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2"/>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2"/>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8</v>
      </c>
      <c r="L17" s="2492"/>
      <c r="M17" s="2487"/>
      <c r="N17" s="2487"/>
      <c r="O17" s="2487"/>
      <c r="P17" s="341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t="s">
        <v>3423</v>
      </c>
      <c r="D18" s="389"/>
      <c r="E18" s="1756" t="s">
        <v>3423</v>
      </c>
      <c r="F18" s="389"/>
      <c r="G18" s="1757" t="s">
        <v>3423</v>
      </c>
      <c r="H18" s="387"/>
      <c r="I18" s="1757" t="s">
        <v>3423</v>
      </c>
      <c r="J18" s="387"/>
      <c r="K18" s="1753"/>
      <c r="L18" s="2492"/>
      <c r="M18" s="2487"/>
      <c r="N18" s="2487"/>
      <c r="O18" s="2487"/>
      <c r="P18" s="3419"/>
      <c r="Q18" s="1263"/>
      <c r="R18" s="667"/>
      <c r="S18" s="668"/>
      <c r="T18" s="667"/>
      <c r="U18" s="668"/>
      <c r="V18" s="667"/>
      <c r="W18" s="668"/>
      <c r="X18" s="1265"/>
      <c r="Y18" s="341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19"/>
      <c r="Q20" s="1263"/>
      <c r="R20" s="667"/>
      <c r="S20" s="668"/>
      <c r="T20" s="667"/>
      <c r="U20" s="668"/>
      <c r="V20" s="667"/>
      <c r="W20" s="668"/>
      <c r="X20" s="1265"/>
      <c r="Y20" s="341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19"/>
      <c r="Q22" s="1263"/>
      <c r="R22" s="667"/>
      <c r="S22" s="668"/>
      <c r="T22" s="667"/>
      <c r="U22" s="668"/>
      <c r="V22" s="667"/>
      <c r="W22" s="668"/>
      <c r="X22" s="1265"/>
      <c r="Y22" s="341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1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t="s">
        <v>3443</v>
      </c>
      <c r="D26" s="374">
        <v>100</v>
      </c>
      <c r="E26" s="1760" t="s">
        <v>3413</v>
      </c>
      <c r="F26" s="374">
        <f>SUMIF(88:88,E26,89:89)-SUMIF(88:88,C26,89:89)+100</f>
        <v>99.5</v>
      </c>
      <c r="G26" s="1761" t="s">
        <v>3413</v>
      </c>
      <c r="H26" s="374">
        <f>SUMIF(88:88,G26,89:89)-SUMIF(88:88,C26,89:89)+100</f>
        <v>99.5</v>
      </c>
      <c r="I26" s="1761" t="s">
        <v>3467</v>
      </c>
      <c r="J26" s="374">
        <f>SUMIF(88:88,I26,89:89)-SUMIF(88:88,C26,89:89)+100</f>
        <v>97</v>
      </c>
      <c r="K26" s="365">
        <v>0.5</v>
      </c>
      <c r="L26" s="2492"/>
      <c r="M26" s="2487"/>
      <c r="N26" s="2487"/>
      <c r="O26" s="2487"/>
      <c r="P26" s="3419"/>
      <c r="Q26" s="1263" t="str">
        <f t="shared" si="11"/>
        <v>朝向</v>
      </c>
      <c r="R26" s="667" t="s">
        <v>18</v>
      </c>
      <c r="S26" s="668">
        <f t="shared" si="12"/>
        <v>99.5</v>
      </c>
      <c r="T26" s="667" t="s">
        <v>18</v>
      </c>
      <c r="U26" s="668">
        <f t="shared" si="13"/>
        <v>99.5</v>
      </c>
      <c r="V26" s="667" t="s">
        <v>18</v>
      </c>
      <c r="W26" s="668">
        <f t="shared" si="14"/>
        <v>97</v>
      </c>
      <c r="X26" s="1265"/>
      <c r="Y26" s="3412"/>
      <c r="Z26" s="1264" t="str">
        <f>Q26</f>
        <v>朝向</v>
      </c>
      <c r="AA26" s="1264">
        <f t="shared" si="15"/>
        <v>1.0050251256281406</v>
      </c>
      <c r="AB26" s="1264">
        <f t="shared" si="16"/>
        <v>1.0050251256281406</v>
      </c>
      <c r="AC26" s="1264">
        <f t="shared" si="17"/>
        <v>1.0309278350515463</v>
      </c>
    </row>
    <row r="27" spans="1:29" s="102" customFormat="1" ht="15">
      <c r="A27" s="370"/>
      <c r="B27" s="3156" t="s">
        <v>3421</v>
      </c>
      <c r="C27" s="371" t="str">
        <f>C90</f>
        <v>5/12（中）</v>
      </c>
      <c r="D27" s="401">
        <v>100</v>
      </c>
      <c r="E27" s="403" t="str">
        <f>D90</f>
        <v>4/6（中）</v>
      </c>
      <c r="F27" s="401">
        <f>SUMIF(90:90,E27,91:91)-SUMIF(90:90,C27,91:91)+100</f>
        <v>100</v>
      </c>
      <c r="G27" s="402" t="str">
        <f>E90</f>
        <v>3/9（低）</v>
      </c>
      <c r="H27" s="401">
        <f>SUMIF(90:90,G27,91:91)-SUMIF(90:90,C27,91:91)+100</f>
        <v>98</v>
      </c>
      <c r="I27" s="402" t="str">
        <f>F90</f>
        <v>2/19（低）</v>
      </c>
      <c r="J27" s="401">
        <f>SUMIF(90:90,I27,91:91)-SUMIF(90:90,C27,91:91)+100</f>
        <v>98</v>
      </c>
      <c r="K27" s="1748"/>
      <c r="L27" s="2488"/>
      <c r="M27" s="2439"/>
      <c r="N27" s="2439"/>
      <c r="O27" s="2439"/>
      <c r="P27" s="3419"/>
      <c r="Q27" s="530" t="str">
        <f t="shared" si="11"/>
        <v>楼层</v>
      </c>
      <c r="R27" s="664" t="s">
        <v>18</v>
      </c>
      <c r="S27" s="665">
        <f t="shared" si="12"/>
        <v>100</v>
      </c>
      <c r="T27" s="664" t="s">
        <v>18</v>
      </c>
      <c r="U27" s="665">
        <f t="shared" si="13"/>
        <v>98</v>
      </c>
      <c r="V27" s="664" t="s">
        <v>18</v>
      </c>
      <c r="W27" s="665">
        <f t="shared" si="14"/>
        <v>98</v>
      </c>
      <c r="X27" s="666"/>
      <c r="Y27" s="3412"/>
      <c r="Z27" s="50" t="str">
        <f>Q27</f>
        <v>楼层</v>
      </c>
      <c r="AA27" s="1264">
        <f t="shared" si="15"/>
        <v>1</v>
      </c>
      <c r="AB27" s="1264">
        <f t="shared" si="16"/>
        <v>1.0204081632653061</v>
      </c>
      <c r="AC27" s="1264">
        <f t="shared" si="17"/>
        <v>1.0204081632653061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9"/>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9"/>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9"/>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9"/>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t="s">
        <v>3448</v>
      </c>
      <c r="D32" s="405">
        <v>100</v>
      </c>
      <c r="E32" s="1765" t="s">
        <v>3446</v>
      </c>
      <c r="F32" s="400">
        <f>SUMIF(100:100,E32,101:101)-SUMIF(100:100,C32,101:101)+100</f>
        <v>102</v>
      </c>
      <c r="G32" s="1764" t="s">
        <v>3448</v>
      </c>
      <c r="H32" s="405">
        <f>SUMIF(100:100,G32,101:101)-SUMIF(100:100,C32,101:101)+100</f>
        <v>100</v>
      </c>
      <c r="I32" s="1765" t="s">
        <v>3474</v>
      </c>
      <c r="J32" s="374">
        <f>SUMIF(100:100,I32,101:101)-SUMIF(100:100,C32,101:101)+100</f>
        <v>98</v>
      </c>
      <c r="K32" s="365">
        <v>2</v>
      </c>
      <c r="L32" s="2492"/>
      <c r="M32" s="2487"/>
      <c r="N32" s="2487"/>
      <c r="O32" s="2487"/>
      <c r="P32" s="3413" t="s">
        <v>1696</v>
      </c>
      <c r="Q32" s="1263" t="str">
        <f t="shared" si="11"/>
        <v>建筑类型</v>
      </c>
      <c r="R32" s="667" t="s">
        <v>18</v>
      </c>
      <c r="S32" s="668">
        <f t="shared" si="12"/>
        <v>102</v>
      </c>
      <c r="T32" s="667" t="s">
        <v>18</v>
      </c>
      <c r="U32" s="668">
        <f t="shared" si="13"/>
        <v>100</v>
      </c>
      <c r="V32" s="667" t="s">
        <v>18</v>
      </c>
      <c r="W32" s="668">
        <f t="shared" si="14"/>
        <v>98</v>
      </c>
      <c r="X32" s="1265"/>
      <c r="Y32" s="3416" t="s">
        <v>1696</v>
      </c>
      <c r="Z32" s="1264" t="str">
        <f t="shared" si="18"/>
        <v>建筑类型</v>
      </c>
      <c r="AA32" s="1264">
        <f t="shared" si="15"/>
        <v>0.98039215686274506</v>
      </c>
      <c r="AB32" s="1264">
        <f t="shared" si="16"/>
        <v>1</v>
      </c>
      <c r="AC32" s="1264">
        <f t="shared" si="17"/>
        <v>1.0204081632653061</v>
      </c>
    </row>
    <row r="33" spans="1:29" s="408" customFormat="1" ht="15">
      <c r="A33" s="406"/>
      <c r="B33" s="364" t="s">
        <v>1697</v>
      </c>
      <c r="C33" s="407">
        <f>'数据-基础表'!I13</f>
        <v>32.25</v>
      </c>
      <c r="D33" s="119">
        <v>100</v>
      </c>
      <c r="E33" s="369">
        <v>92.37</v>
      </c>
      <c r="F33" s="364">
        <f>LOOKUP(E33,103:103,104:104)-LOOKUP(C33,103:103,104:104)+100</f>
        <v>98.5</v>
      </c>
      <c r="G33" s="368">
        <v>87.68</v>
      </c>
      <c r="H33" s="119">
        <f>LOOKUP(G33,103:103,104:104)-LOOKUP(C33,103:103,104:104)+100</f>
        <v>100</v>
      </c>
      <c r="I33" s="369">
        <v>144.41</v>
      </c>
      <c r="J33" s="119">
        <f>LOOKUP(I33,103:103,104:104)-LOOKUP(C33,103:103,104:104)+100</f>
        <v>97</v>
      </c>
      <c r="K33" s="1748"/>
      <c r="L33" s="2491"/>
      <c r="M33" s="2493"/>
      <c r="N33" s="2493"/>
      <c r="O33" s="2493"/>
      <c r="P33" s="3414"/>
      <c r="Q33" s="531" t="str">
        <f t="shared" si="11"/>
        <v>项目建筑规模</v>
      </c>
      <c r="R33" s="669" t="s">
        <v>18</v>
      </c>
      <c r="S33" s="670">
        <f t="shared" si="12"/>
        <v>98.5</v>
      </c>
      <c r="T33" s="669" t="s">
        <v>18</v>
      </c>
      <c r="U33" s="670">
        <f t="shared" si="13"/>
        <v>100</v>
      </c>
      <c r="V33" s="669" t="s">
        <v>18</v>
      </c>
      <c r="W33" s="670">
        <f t="shared" si="14"/>
        <v>97</v>
      </c>
      <c r="X33" s="671"/>
      <c r="Y33" s="3416"/>
      <c r="Z33" s="672" t="str">
        <f t="shared" si="18"/>
        <v>项目建筑规模</v>
      </c>
      <c r="AA33" s="1264">
        <f t="shared" si="15"/>
        <v>1.015228426395939</v>
      </c>
      <c r="AB33" s="1264">
        <f t="shared" si="16"/>
        <v>1</v>
      </c>
      <c r="AC33" s="1264">
        <f t="shared" si="17"/>
        <v>1.0309278350515463</v>
      </c>
    </row>
    <row r="34" spans="1:29" ht="15">
      <c r="A34" s="409"/>
      <c r="B34" s="364" t="s">
        <v>1698</v>
      </c>
      <c r="C34" s="399" t="s">
        <v>3471</v>
      </c>
      <c r="D34" s="374">
        <v>100</v>
      </c>
      <c r="E34" s="1766" t="s">
        <v>3450</v>
      </c>
      <c r="F34" s="400">
        <f>SUMIF(105:105,E34,106:106)-SUMIF(105:105,C34,106:106)+100</f>
        <v>98</v>
      </c>
      <c r="G34" s="399" t="s">
        <v>3471</v>
      </c>
      <c r="H34" s="374">
        <f>SUMIF(105:105,G34,106:106)-SUMIF(105:105,C34,106:106)+100</f>
        <v>100</v>
      </c>
      <c r="I34" s="1766" t="s">
        <v>3471</v>
      </c>
      <c r="J34" s="374">
        <f>SUMIF(105:105,I34,106:106)-SUMIF(105:105,C34,106:106)+100</f>
        <v>100</v>
      </c>
      <c r="K34" s="365">
        <v>2</v>
      </c>
      <c r="L34" s="2492"/>
      <c r="M34" s="2487"/>
      <c r="N34" s="2487"/>
      <c r="O34" s="2487"/>
      <c r="P34" s="3414"/>
      <c r="Q34" s="1263" t="str">
        <f t="shared" si="11"/>
        <v>建筑结构</v>
      </c>
      <c r="R34" s="667" t="s">
        <v>18</v>
      </c>
      <c r="S34" s="668">
        <f t="shared" si="12"/>
        <v>98</v>
      </c>
      <c r="T34" s="667" t="s">
        <v>18</v>
      </c>
      <c r="U34" s="668">
        <f t="shared" si="13"/>
        <v>100</v>
      </c>
      <c r="V34" s="667" t="s">
        <v>18</v>
      </c>
      <c r="W34" s="668">
        <f t="shared" si="14"/>
        <v>100</v>
      </c>
      <c r="X34" s="1265"/>
      <c r="Y34" s="3416"/>
      <c r="Z34" s="1264" t="str">
        <f t="shared" si="18"/>
        <v>建筑结构</v>
      </c>
      <c r="AA34" s="1264">
        <f t="shared" si="15"/>
        <v>1.0204081632653061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t="s">
        <v>3414</v>
      </c>
      <c r="D36" s="374">
        <v>100</v>
      </c>
      <c r="E36" s="1761" t="s">
        <v>3414</v>
      </c>
      <c r="F36" s="400">
        <f>SUMIF(109:109,E36,110:110)-SUMIF(109:109,C36,110:110)+100</f>
        <v>100</v>
      </c>
      <c r="G36" s="1760" t="s">
        <v>3414</v>
      </c>
      <c r="H36" s="374">
        <f>SUMIF(109:109,G36,110:110)-SUMIF(109:109,C36,110:110)+100</f>
        <v>100</v>
      </c>
      <c r="I36" s="1761" t="s">
        <v>3414</v>
      </c>
      <c r="J36" s="374">
        <f>SUMIF(109:109,I36,110:110)-SUMIF(109:109,C36,110:110)+100</f>
        <v>100</v>
      </c>
      <c r="K36" s="365"/>
      <c r="L36" s="2492"/>
      <c r="M36" s="2487"/>
      <c r="N36" s="2487"/>
      <c r="O36" s="2487"/>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414"/>
      <c r="Q37" s="530" t="str">
        <f t="shared" si="11"/>
        <v>成新度</v>
      </c>
      <c r="R37" s="664" t="s">
        <v>18</v>
      </c>
      <c r="S37" s="665">
        <f t="shared" si="12"/>
        <v>100</v>
      </c>
      <c r="T37" s="664" t="s">
        <v>18</v>
      </c>
      <c r="U37" s="665">
        <f t="shared" si="13"/>
        <v>100</v>
      </c>
      <c r="V37" s="664" t="s">
        <v>18</v>
      </c>
      <c r="W37" s="665">
        <f t="shared" si="14"/>
        <v>100</v>
      </c>
      <c r="X37" s="666"/>
      <c r="Y37" s="3416"/>
      <c r="Z37" s="50" t="str">
        <f t="shared" si="18"/>
        <v>成新度</v>
      </c>
      <c r="AA37" s="50">
        <f t="shared" si="15"/>
        <v>1</v>
      </c>
      <c r="AB37" s="50">
        <f t="shared" si="16"/>
        <v>1</v>
      </c>
      <c r="AC37" s="50">
        <f t="shared" si="17"/>
        <v>1</v>
      </c>
    </row>
    <row r="38" spans="1:29" ht="15">
      <c r="A38" s="409"/>
      <c r="B38" s="364" t="s">
        <v>1702</v>
      </c>
      <c r="C38" s="1760" t="s">
        <v>3475</v>
      </c>
      <c r="D38" s="374">
        <v>100</v>
      </c>
      <c r="E38" s="1761" t="s">
        <v>3418</v>
      </c>
      <c r="F38" s="400">
        <f>SUMIF(114:114,E38,115:115)-SUMIF(114:114,C38,115:115)+100</f>
        <v>100</v>
      </c>
      <c r="G38" s="1760" t="s">
        <v>3418</v>
      </c>
      <c r="H38" s="374">
        <f>SUMIF(114:114,G38,115:115)-SUMIF(114:114,C38,115:115)+100</f>
        <v>100</v>
      </c>
      <c r="I38" s="1761" t="s">
        <v>3418</v>
      </c>
      <c r="J38" s="374">
        <f>SUMIF(114:114,I38,115:115)-SUMIF(114:114,C38,115:115)+100</f>
        <v>100</v>
      </c>
      <c r="K38" s="365"/>
      <c r="L38" s="2492"/>
      <c r="M38" s="2487"/>
      <c r="N38" s="2487"/>
      <c r="O38" s="2487"/>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t="s">
        <v>3416</v>
      </c>
      <c r="D39" s="374">
        <v>100</v>
      </c>
      <c r="E39" s="1761" t="s">
        <v>3416</v>
      </c>
      <c r="F39" s="400">
        <f>SUMIF(116:116,E39,117:117)-SUMIF(116:116,C39,117:117)+100</f>
        <v>100</v>
      </c>
      <c r="G39" s="1760" t="s">
        <v>3416</v>
      </c>
      <c r="H39" s="374">
        <f>SUMIF(116:116,G39,117:117)-SUMIF(116:116,C39,117:117)+100</f>
        <v>100</v>
      </c>
      <c r="I39" s="1761" t="s">
        <v>3416</v>
      </c>
      <c r="J39" s="374">
        <f>SUMIF(116:116,I39,117:117)-SUMIF(116:116,C39,117:117)+100</f>
        <v>100</v>
      </c>
      <c r="K39" s="365"/>
      <c r="L39" s="2492"/>
      <c r="M39" s="2487"/>
      <c r="N39" s="2487"/>
      <c r="O39" s="2487"/>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t="s">
        <v>3414</v>
      </c>
      <c r="D42" s="374">
        <v>100</v>
      </c>
      <c r="E42" s="1761" t="s">
        <v>3414</v>
      </c>
      <c r="F42" s="400">
        <f>SUMIF(122:122,E42,123:123)-SUMIF(122:122,C42,123:123)+100</f>
        <v>100</v>
      </c>
      <c r="G42" s="1760" t="s">
        <v>3414</v>
      </c>
      <c r="H42" s="374">
        <f>SUMIF(122:122,G42,123:123)-SUMIF(122:122,C42,123:123)+100</f>
        <v>100</v>
      </c>
      <c r="I42" s="1761" t="s">
        <v>3414</v>
      </c>
      <c r="J42" s="374">
        <f>SUMIF(122:122,I42,123:123)-SUMIF(122:122,C42,123:123)+100</f>
        <v>100</v>
      </c>
      <c r="K42" s="365">
        <v>1.5</v>
      </c>
      <c r="L42" s="2492"/>
      <c r="M42" s="2487"/>
      <c r="N42" s="2487"/>
      <c r="O42" s="2487"/>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28.8">
      <c r="A43" s="409"/>
      <c r="B43" s="364" t="s">
        <v>1707</v>
      </c>
      <c r="C43" s="3161" t="s">
        <v>3473</v>
      </c>
      <c r="D43" s="374">
        <v>100</v>
      </c>
      <c r="E43" s="1761" t="s">
        <v>3423</v>
      </c>
      <c r="F43" s="400">
        <f>SUMIF(124:124,E43,125:125)-SUMIF(124:124,C43,125:125)+100</f>
        <v>103</v>
      </c>
      <c r="G43" s="1760" t="s">
        <v>3423</v>
      </c>
      <c r="H43" s="374">
        <f>SUMIF(124:124,G43,125:125)-SUMIF(124:124,C43,125:125)+100</f>
        <v>103</v>
      </c>
      <c r="I43" s="1761" t="s">
        <v>3423</v>
      </c>
      <c r="J43" s="374">
        <f>SUMIF(124:124,I43,125:125)-SUMIF(124:124,C43,125:125)+100</f>
        <v>103</v>
      </c>
      <c r="K43" s="365">
        <v>1</v>
      </c>
      <c r="L43" s="2492"/>
      <c r="M43" s="2487"/>
      <c r="N43" s="2487"/>
      <c r="O43" s="2487"/>
      <c r="P43" s="3414"/>
      <c r="Q43" s="1263" t="str">
        <f t="shared" si="11"/>
        <v>内部装修维护情况</v>
      </c>
      <c r="R43" s="667" t="s">
        <v>18</v>
      </c>
      <c r="S43" s="668">
        <f t="shared" si="12"/>
        <v>103</v>
      </c>
      <c r="T43" s="667" t="s">
        <v>18</v>
      </c>
      <c r="U43" s="668">
        <f t="shared" si="13"/>
        <v>103</v>
      </c>
      <c r="V43" s="667" t="s">
        <v>18</v>
      </c>
      <c r="W43" s="668">
        <f t="shared" si="14"/>
        <v>103</v>
      </c>
      <c r="X43" s="1265"/>
      <c r="Y43" s="3416"/>
      <c r="Z43" s="1264" t="str">
        <f t="shared" si="18"/>
        <v>内部装修维护情况</v>
      </c>
      <c r="AA43" s="1264">
        <f t="shared" si="15"/>
        <v>0.970873786407767</v>
      </c>
      <c r="AB43" s="1264">
        <f t="shared" si="16"/>
        <v>0.970873786407767</v>
      </c>
      <c r="AC43" s="1264">
        <f t="shared" si="17"/>
        <v>0.970873786407767</v>
      </c>
    </row>
    <row r="44" spans="1:29" s="102" customFormat="1" ht="15">
      <c r="A44" s="410"/>
      <c r="B44" s="3156" t="s">
        <v>3422</v>
      </c>
      <c r="C44" s="3162">
        <v>1984</v>
      </c>
      <c r="D44" s="3163">
        <v>100</v>
      </c>
      <c r="E44" s="3162">
        <v>2002</v>
      </c>
      <c r="F44" s="3164">
        <f>SUMIF(126:126,E44,127:127)-SUMIF(126:126,C44,127:127)+100</f>
        <v>102</v>
      </c>
      <c r="G44" s="3162">
        <v>2015</v>
      </c>
      <c r="H44" s="3163">
        <f>SUMIF(126:126,G44,127:127)-SUMIF(126:126,C44,127:127)+100</f>
        <v>103.5</v>
      </c>
      <c r="I44" s="3162">
        <v>2002</v>
      </c>
      <c r="J44" s="3163">
        <f>SUMIF(126:126,I44,127:127)-SUMIF(126:126,C44,127:127)+100</f>
        <v>102</v>
      </c>
      <c r="K44" s="1748"/>
      <c r="L44" s="2488"/>
      <c r="M44" s="2439"/>
      <c r="N44" s="2439"/>
      <c r="O44" s="2439"/>
      <c r="P44" s="3414"/>
      <c r="Q44" s="530" t="str">
        <f t="shared" si="11"/>
        <v>建成年代</v>
      </c>
      <c r="R44" s="664" t="s">
        <v>18</v>
      </c>
      <c r="S44" s="665">
        <f t="shared" si="12"/>
        <v>102</v>
      </c>
      <c r="T44" s="664" t="s">
        <v>18</v>
      </c>
      <c r="U44" s="665">
        <f t="shared" si="13"/>
        <v>103.5</v>
      </c>
      <c r="V44" s="664" t="s">
        <v>18</v>
      </c>
      <c r="W44" s="665">
        <f t="shared" si="14"/>
        <v>102</v>
      </c>
      <c r="X44" s="666"/>
      <c r="Y44" s="3416"/>
      <c r="Z44" s="50" t="str">
        <f t="shared" si="18"/>
        <v>建成年代</v>
      </c>
      <c r="AA44" s="50">
        <f t="shared" si="15"/>
        <v>0.98039215686274506</v>
      </c>
      <c r="AB44" s="50">
        <f t="shared" si="16"/>
        <v>0.96618357487922701</v>
      </c>
      <c r="AC44" s="50">
        <f t="shared" si="17"/>
        <v>0.98039215686274506</v>
      </c>
    </row>
    <row r="45" spans="1:29" ht="15">
      <c r="A45" s="409"/>
      <c r="B45" s="3156" t="s">
        <v>3455</v>
      </c>
      <c r="C45" s="3160" t="s">
        <v>3456</v>
      </c>
      <c r="D45" s="374">
        <v>100</v>
      </c>
      <c r="E45" s="3160" t="s">
        <v>3457</v>
      </c>
      <c r="F45" s="400">
        <f>SUMIF(128:128,E45,129:129)-SUMIF(128:128,C45,129:129)+100</f>
        <v>97</v>
      </c>
      <c r="G45" s="3160" t="s">
        <v>3456</v>
      </c>
      <c r="H45" s="374">
        <f>SUMIF(128:128,G45,129:129)-SUMIF(128:128,C45,129:129)+100</f>
        <v>100</v>
      </c>
      <c r="I45" s="3160" t="s">
        <v>3456</v>
      </c>
      <c r="J45" s="374">
        <f>SUMIF(128:128,I45,129:129)-SUMIF(128:128,C45,129:129)+100</f>
        <v>100</v>
      </c>
      <c r="K45" s="1748"/>
      <c r="L45" s="2492"/>
      <c r="M45" s="2487"/>
      <c r="N45" s="2487"/>
      <c r="O45" s="2487"/>
      <c r="P45" s="3414"/>
      <c r="Q45" s="1263" t="str">
        <f t="shared" si="11"/>
        <v>电梯</v>
      </c>
      <c r="R45" s="667" t="s">
        <v>18</v>
      </c>
      <c r="S45" s="668">
        <f t="shared" si="12"/>
        <v>97</v>
      </c>
      <c r="T45" s="667" t="s">
        <v>18</v>
      </c>
      <c r="U45" s="668">
        <f t="shared" si="13"/>
        <v>100</v>
      </c>
      <c r="V45" s="667" t="s">
        <v>18</v>
      </c>
      <c r="W45" s="668">
        <f t="shared" si="14"/>
        <v>100</v>
      </c>
      <c r="X45" s="1265"/>
      <c r="Y45" s="3416"/>
      <c r="Z45" s="1264" t="str">
        <f t="shared" si="18"/>
        <v>电梯</v>
      </c>
      <c r="AA45" s="1264">
        <f t="shared" si="15"/>
        <v>1.0309278350515463</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4.4">
      <c r="A47" s="416" t="s">
        <v>1708</v>
      </c>
      <c r="B47" s="417"/>
      <c r="C47" s="1081" t="s">
        <v>16</v>
      </c>
      <c r="D47" s="418"/>
      <c r="E47" s="419">
        <v>33669</v>
      </c>
      <c r="F47" s="420"/>
      <c r="G47" s="421">
        <v>39804</v>
      </c>
      <c r="H47" s="422"/>
      <c r="I47" s="419">
        <v>32172</v>
      </c>
      <c r="J47" s="422"/>
      <c r="K47" s="1767"/>
      <c r="L47" s="2494"/>
      <c r="M47" s="2487"/>
      <c r="N47" s="2487"/>
      <c r="O47" s="2487"/>
      <c r="P47" s="3410" t="str">
        <f>A47</f>
        <v>成交单价（元/平方米）</v>
      </c>
      <c r="Q47" s="3410"/>
      <c r="R47" s="3405">
        <f>E47</f>
        <v>33669</v>
      </c>
      <c r="S47" s="3405"/>
      <c r="T47" s="3405">
        <f>G47</f>
        <v>39804</v>
      </c>
      <c r="U47" s="3405"/>
      <c r="V47" s="3405">
        <f>I47</f>
        <v>32172</v>
      </c>
      <c r="W47" s="3405"/>
      <c r="X47" s="385"/>
      <c r="Y47" s="673"/>
      <c r="Z47" s="385"/>
      <c r="AA47" s="385"/>
      <c r="AB47" s="385"/>
      <c r="AC47" s="385"/>
    </row>
    <row r="48" spans="1:29" ht="15" thickBot="1">
      <c r="A48" s="423" t="s">
        <v>1709</v>
      </c>
      <c r="B48" s="424"/>
      <c r="C48" s="1082">
        <f>R49</f>
        <v>35125</v>
      </c>
      <c r="D48" s="2141" t="s">
        <v>2138</v>
      </c>
      <c r="E48" s="1083">
        <f>R48</f>
        <v>33556</v>
      </c>
      <c r="F48" s="2142"/>
      <c r="G48" s="1082">
        <f>T48</f>
        <v>38101</v>
      </c>
      <c r="H48" s="2142"/>
      <c r="I48" s="1083">
        <f>V48</f>
        <v>33719</v>
      </c>
      <c r="J48" s="2142"/>
      <c r="K48" s="2143">
        <f>F48+H48+J48</f>
        <v>0</v>
      </c>
      <c r="L48" s="2494"/>
      <c r="M48" s="2487"/>
      <c r="N48" s="2487"/>
      <c r="O48" s="2487"/>
      <c r="P48" s="3410" t="str">
        <f>A48</f>
        <v>比较价值（元/平方米）</v>
      </c>
      <c r="Q48" s="3410"/>
      <c r="R48" s="3405">
        <f>IF(F1="售价",ROUND(PRODUCT(R47,AA7:AA46),0),ROUND(PRODUCT(R47,AA7:AA46),1))</f>
        <v>33556</v>
      </c>
      <c r="S48" s="3405"/>
      <c r="T48" s="3405">
        <f>IF(F1="售价",ROUND(PRODUCT(T47,AB7:AB46),0),ROUND(PRODUCT(T47,AB7:AB46),1))</f>
        <v>38101</v>
      </c>
      <c r="U48" s="3405"/>
      <c r="V48" s="3405">
        <f>IF(F1="售价",ROUND(PRODUCT(V47,AC7:AC46),0),ROUND(PRODUCT(V47,AC7:AC46),1))</f>
        <v>33719</v>
      </c>
      <c r="W48" s="3405"/>
      <c r="X48" s="385"/>
      <c r="Y48" s="385"/>
      <c r="Z48" s="385"/>
      <c r="AA48" s="385"/>
      <c r="AB48" s="385"/>
      <c r="AC48" s="385"/>
    </row>
    <row r="49" spans="1:29" ht="15" thickBot="1">
      <c r="A49" s="427" t="s">
        <v>1710</v>
      </c>
      <c r="B49" s="428"/>
      <c r="C49" s="1084">
        <f>R49</f>
        <v>35125</v>
      </c>
      <c r="D49" s="351"/>
      <c r="E49" s="351"/>
      <c r="F49" s="351"/>
      <c r="G49" s="351"/>
      <c r="H49" s="351"/>
      <c r="I49" s="351"/>
      <c r="J49" s="351"/>
      <c r="K49" s="1768"/>
      <c r="L49" s="2494"/>
      <c r="M49" s="2487"/>
      <c r="N49" s="2487"/>
      <c r="O49" s="2487"/>
      <c r="P49" s="3407" t="str">
        <f>A49</f>
        <v>估价对象XX用房的比较价值（楼面单价，元/平方米）</v>
      </c>
      <c r="Q49" s="3408"/>
      <c r="R49" s="3409">
        <f>IF(F1="售价",ROUND(IF(D48="简单平均",AVERAGE(R48:V48),R48*F48+T48*H48+V48*J48),0),ROUND(IF(D48="简单平均",AVERAGE(R48:V48),R48*F48+T48*H48+V48*J48),1))</f>
        <v>35125</v>
      </c>
      <c r="S49" s="3409"/>
      <c r="T49" s="3409"/>
      <c r="U49" s="3409"/>
      <c r="V49" s="3409"/>
      <c r="W49" s="34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3.3675050661581274E-3</v>
      </c>
      <c r="F52" s="435" t="str">
        <f>IF(OR(E52&gt;=0.3,E52&lt;=-0.3),"超过30%","")</f>
        <v/>
      </c>
      <c r="G52" s="434">
        <f>IF(G47&lt;G48,G48/G47-1,G47/G48-1)</f>
        <v>4.4696989580325974E-2</v>
      </c>
      <c r="H52" s="435" t="str">
        <f>IF(OR(G52&gt;=0.3,G52&lt;=-0.3),"超过30%","")</f>
        <v/>
      </c>
      <c r="I52" s="434">
        <f>IF(I47&lt;I48,I48/I47-1,I47/I48-1)</f>
        <v>4.8085291557876442E-2</v>
      </c>
      <c r="J52" s="435" t="str">
        <f>IF(OR(I52&gt;=0.3,I52&lt;=-0.3),"超过30%","")</f>
        <v/>
      </c>
      <c r="K52" s="2499"/>
      <c r="L52" s="2495"/>
      <c r="M52" s="2487"/>
      <c r="N52" s="2487"/>
      <c r="O52" s="2487"/>
    </row>
    <row r="53" spans="1:29" ht="13.5" customHeight="1">
      <c r="A53" s="2487"/>
      <c r="B53" s="2487"/>
      <c r="C53" s="432" t="s">
        <v>1712</v>
      </c>
      <c r="D53" s="436"/>
      <c r="E53" s="434">
        <f>IF(E48&lt;G48,G48/E48-1,E48/G48-1)</f>
        <v>0.1354452258910479</v>
      </c>
      <c r="F53" s="435" t="str">
        <f>IF(OR(E53&gt;=0.2,E53&lt;=-0.2),"超过20%","")</f>
        <v/>
      </c>
      <c r="G53" s="434">
        <f>IF(G48&lt;I48,I48/G48-1,G48/I48-1)</f>
        <v>0.12995640440107947</v>
      </c>
      <c r="H53" s="435" t="str">
        <f>IF(OR(G53&gt;=0.2,G53&lt;=-0.2),"超过20%","")</f>
        <v/>
      </c>
      <c r="I53" s="434">
        <f>IF(I48&lt;E48,E48/I48-1,I48/E48-1)</f>
        <v>4.8575515556086302E-3</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0.18221509400338598</v>
      </c>
      <c r="F54" s="435" t="str">
        <f>IF(OR(E54&gt;=0.3,E54&lt;=-0.3),"超过30%","")</f>
        <v/>
      </c>
      <c r="G54" s="434">
        <f>IF(G47&lt;I47,I47/G47-1,G47/I47-1)</f>
        <v>0.23722491607609109</v>
      </c>
      <c r="H54" s="435" t="str">
        <f>IF(OR(G54&gt;=0.3,G54&lt;=-0.3),"超过30%","")</f>
        <v/>
      </c>
      <c r="I54" s="434">
        <f>IF(I47&lt;E47,E47/I47-1,I47/E47-1)</f>
        <v>4.6531145095113802E-2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3158" t="s">
        <v>3438</v>
      </c>
      <c r="E63" s="462"/>
      <c r="F63" s="462"/>
      <c r="G63" s="462"/>
      <c r="H63" s="462"/>
      <c r="I63" s="462"/>
      <c r="J63" s="462"/>
      <c r="K63" s="463"/>
      <c r="L63" s="464"/>
      <c r="M63" s="465"/>
      <c r="N63" s="879"/>
      <c r="O63" s="879"/>
      <c r="P63" s="1775"/>
      <c r="Q63" s="439"/>
    </row>
    <row r="64" spans="1:29" ht="14.4" thickBot="1">
      <c r="A64" s="367"/>
      <c r="B64" s="466"/>
      <c r="C64" s="467">
        <v>100</v>
      </c>
      <c r="D64" s="467">
        <v>99.5</v>
      </c>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54" t="s">
        <v>3444</v>
      </c>
      <c r="D88" s="3154" t="s">
        <v>3445</v>
      </c>
      <c r="E88" s="3154" t="s">
        <v>3463</v>
      </c>
      <c r="F88" s="3155" t="s">
        <v>3464</v>
      </c>
      <c r="G88" s="3154" t="s">
        <v>3465</v>
      </c>
      <c r="H88" s="3154" t="s">
        <v>3466</v>
      </c>
      <c r="I88" s="3154" t="s">
        <v>3468</v>
      </c>
      <c r="J88" s="3154" t="s">
        <v>3469</v>
      </c>
      <c r="K88" s="485"/>
      <c r="L88" s="485"/>
      <c r="M88" s="511"/>
      <c r="N88" s="878"/>
      <c r="O88" s="878"/>
      <c r="P88" s="1775"/>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5"/>
      <c r="Q89" s="439"/>
    </row>
    <row r="90" spans="1:17" s="408" customFormat="1" ht="15" thickTop="1">
      <c r="A90" s="484"/>
      <c r="B90" s="469" t="str">
        <f>B27</f>
        <v>楼层</v>
      </c>
      <c r="C90" s="485" t="s">
        <v>3441</v>
      </c>
      <c r="D90" s="3157" t="s">
        <v>3442</v>
      </c>
      <c r="E90" s="3157" t="s">
        <v>3460</v>
      </c>
      <c r="F90" s="3157" t="s">
        <v>3470</v>
      </c>
      <c r="G90" s="485"/>
      <c r="H90" s="486"/>
      <c r="I90" s="486"/>
      <c r="J90" s="486"/>
      <c r="K90" s="486"/>
      <c r="L90" s="487"/>
      <c r="M90" s="488"/>
      <c r="N90" s="881"/>
      <c r="O90" s="881"/>
      <c r="P90" s="1776"/>
      <c r="Q90" s="490"/>
    </row>
    <row r="91" spans="1:17" s="408" customFormat="1" ht="14.4" thickBot="1">
      <c r="A91" s="484"/>
      <c r="B91" s="474"/>
      <c r="C91" s="491">
        <v>100</v>
      </c>
      <c r="D91" s="491">
        <v>100</v>
      </c>
      <c r="E91" s="491">
        <v>98</v>
      </c>
      <c r="F91" s="491">
        <v>98</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58" t="s">
        <v>3447</v>
      </c>
      <c r="D100" s="3158" t="s">
        <v>3449</v>
      </c>
      <c r="E100" s="3158" t="s">
        <v>3437</v>
      </c>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5"/>
      <c r="Q101" s="439"/>
    </row>
    <row r="102" spans="1:17" ht="15" thickTop="1">
      <c r="A102" s="367"/>
      <c r="B102" s="469" t="s">
        <v>1737</v>
      </c>
      <c r="C102" s="509" t="str">
        <f>C103&amp;"(含)"&amp;"-"&amp;D103</f>
        <v>0(含)-90</v>
      </c>
      <c r="D102" s="509" t="str">
        <f t="shared" ref="D102:L102" si="26">D103&amp;"(含)"&amp;"-"&amp;E103</f>
        <v>90(含)-120</v>
      </c>
      <c r="E102" s="509" t="str">
        <f t="shared" si="26"/>
        <v>120(含)-150</v>
      </c>
      <c r="F102" s="509" t="str">
        <f t="shared" si="26"/>
        <v>150(含)-180</v>
      </c>
      <c r="G102" s="509" t="str">
        <f t="shared" si="26"/>
        <v>180(含)-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90</v>
      </c>
      <c r="E103" s="6">
        <v>120</v>
      </c>
      <c r="F103" s="6">
        <v>150</v>
      </c>
      <c r="G103" s="6">
        <v>180</v>
      </c>
      <c r="H103" s="6"/>
      <c r="I103" s="6"/>
      <c r="J103" s="524"/>
      <c r="K103" s="524"/>
      <c r="L103" s="525"/>
      <c r="M103" s="526"/>
      <c r="N103" s="881"/>
      <c r="O103" s="881"/>
      <c r="P103" s="1776"/>
      <c r="Q103" s="490"/>
    </row>
    <row r="104" spans="1:17" s="408" customFormat="1" ht="14.4"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3420</v>
      </c>
      <c r="D105" s="3154" t="s">
        <v>3451</v>
      </c>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3415</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3419</v>
      </c>
      <c r="D114" s="3154" t="s">
        <v>3476</v>
      </c>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3417</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3415</v>
      </c>
      <c r="D122" s="3154" t="s">
        <v>3452</v>
      </c>
      <c r="E122" s="3154" t="s">
        <v>3453</v>
      </c>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98.5</v>
      </c>
      <c r="E123" s="475">
        <f t="shared" si="32"/>
        <v>97</v>
      </c>
      <c r="F123" s="475">
        <f t="shared" si="32"/>
        <v>95.5</v>
      </c>
      <c r="G123" s="475">
        <f t="shared" si="32"/>
        <v>94</v>
      </c>
      <c r="H123" s="475">
        <f t="shared" si="32"/>
        <v>92.5</v>
      </c>
      <c r="I123" s="475">
        <f t="shared" si="32"/>
        <v>91</v>
      </c>
      <c r="J123" s="475">
        <f t="shared" si="32"/>
        <v>89.5</v>
      </c>
      <c r="K123" s="475">
        <f t="shared" si="32"/>
        <v>88</v>
      </c>
      <c r="L123" s="475">
        <f t="shared" si="32"/>
        <v>86.5</v>
      </c>
      <c r="M123" s="475">
        <f t="shared" si="32"/>
        <v>85</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5"/>
      <c r="Q125" s="439"/>
    </row>
    <row r="126" spans="1:17" s="408" customFormat="1" ht="14.4" thickTop="1">
      <c r="A126" s="406"/>
      <c r="B126" s="469" t="str">
        <f>B44</f>
        <v>建成年代</v>
      </c>
      <c r="C126" s="485">
        <v>1984</v>
      </c>
      <c r="D126" s="485">
        <v>2002</v>
      </c>
      <c r="E126" s="485">
        <v>2015</v>
      </c>
      <c r="F126" s="485"/>
      <c r="G126" s="485"/>
      <c r="H126" s="486"/>
      <c r="I126" s="486"/>
      <c r="J126" s="486"/>
      <c r="K126" s="486"/>
      <c r="L126" s="487"/>
      <c r="M126" s="488"/>
      <c r="N126" s="881"/>
      <c r="O126" s="881"/>
      <c r="P126" s="1776"/>
      <c r="Q126" s="490"/>
    </row>
    <row r="127" spans="1:17" s="408" customFormat="1" ht="14.4" thickBot="1">
      <c r="A127" s="484"/>
      <c r="B127" s="474"/>
      <c r="C127" s="491">
        <v>100</v>
      </c>
      <c r="D127" s="467">
        <v>102</v>
      </c>
      <c r="E127" s="467">
        <v>103.5</v>
      </c>
      <c r="F127" s="467"/>
      <c r="G127" s="491"/>
      <c r="H127" s="493"/>
      <c r="I127" s="493"/>
      <c r="J127" s="493"/>
      <c r="K127" s="493"/>
      <c r="L127" s="493"/>
      <c r="M127" s="494"/>
      <c r="N127" s="881"/>
      <c r="O127" s="881"/>
      <c r="P127" s="1776"/>
      <c r="Q127" s="490"/>
    </row>
    <row r="128" spans="1:17" ht="15" thickTop="1">
      <c r="A128" s="409"/>
      <c r="B128" s="469" t="str">
        <f>B45</f>
        <v>电梯</v>
      </c>
      <c r="C128" s="3154" t="s">
        <v>3456</v>
      </c>
      <c r="D128" s="3154" t="s">
        <v>3457</v>
      </c>
      <c r="E128" s="485"/>
      <c r="F128" s="485"/>
      <c r="G128" s="513"/>
      <c r="H128" s="513"/>
      <c r="I128" s="513"/>
      <c r="J128" s="513"/>
      <c r="K128" s="514"/>
      <c r="L128" s="515"/>
      <c r="M128" s="516"/>
      <c r="N128" s="879"/>
      <c r="O128" s="879"/>
      <c r="P128" s="1775"/>
      <c r="Q128" s="439"/>
    </row>
    <row r="129" spans="1:17" ht="14.4" thickBot="1">
      <c r="A129" s="367"/>
      <c r="B129" s="474"/>
      <c r="C129" s="491">
        <v>100</v>
      </c>
      <c r="D129" s="491">
        <v>97</v>
      </c>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9" sqref="F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3492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26.951699999999999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8357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86211</v>
      </c>
      <c r="D5" s="203" t="s">
        <v>1469</v>
      </c>
      <c r="E5" s="204" t="s">
        <v>1470</v>
      </c>
      <c r="F5" s="204" t="s">
        <v>1471</v>
      </c>
      <c r="G5" s="205"/>
    </row>
    <row r="6" spans="1:8" s="206" customFormat="1" ht="13.5" customHeight="1">
      <c r="A6" s="732" t="s">
        <v>1472</v>
      </c>
      <c r="B6" s="207" t="s">
        <v>1473</v>
      </c>
      <c r="C6" s="208">
        <f>基准地价修正!C42*基准地价修正!D42</f>
        <v>77400</v>
      </c>
      <c r="D6" s="209"/>
      <c r="E6" s="210"/>
      <c r="F6" s="210"/>
      <c r="G6" s="211"/>
    </row>
    <row r="7" spans="1:8" s="206" customFormat="1" ht="13.5" customHeight="1">
      <c r="A7" s="732" t="s">
        <v>1474</v>
      </c>
      <c r="B7" s="207" t="s">
        <v>1475</v>
      </c>
      <c r="C7" s="212">
        <f>ROUND(C6*F7,0)</f>
        <v>2361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6450</v>
      </c>
      <c r="D8" s="214"/>
      <c r="E8" s="212"/>
      <c r="F8" s="213"/>
      <c r="G8" s="1714" t="s">
        <v>3433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6450</v>
      </c>
      <c r="D10" s="795">
        <f ca="1">IF(B1="",'数据-汇总表'!E6,IF(INDIRECT("'数据-取费表'!c"&amp;$G$1)="住宅",INDIRECT("'数据-取费表'!s"&amp;$G$1),INDIRECT("'数据-取费表'!k"&amp;$G$1)+INDIRECT("'数据-取费表'!s"&amp;$G$1)))</f>
        <v>32.25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32.25</v>
      </c>
      <c r="E19" s="203">
        <f>'数据-取费表'!B31</f>
        <v>200</v>
      </c>
      <c r="F19" s="223"/>
      <c r="G19" s="1714" t="s">
        <v>3434</v>
      </c>
    </row>
    <row r="20" spans="1:7" s="206" customFormat="1" ht="13.5" customHeight="1">
      <c r="A20" s="247" t="s">
        <v>1574</v>
      </c>
      <c r="B20" s="202" t="s">
        <v>1575</v>
      </c>
      <c r="C20" s="224">
        <f ca="1">ROUND((C5+C19)*F20,0)</f>
        <v>862</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5455</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5428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27</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8707</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8707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110906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168991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145125</v>
      </c>
      <c r="D34" s="209"/>
      <c r="E34" s="212"/>
      <c r="F34" s="249"/>
      <c r="G34" s="211"/>
    </row>
    <row r="35" spans="1:7" ht="13.5" customHeight="1">
      <c r="A35" s="734" t="s">
        <v>351</v>
      </c>
      <c r="B35" s="207" t="s">
        <v>1527</v>
      </c>
      <c r="C35" s="212">
        <f ca="1">ROUND(C34*F35,0)</f>
        <v>14513</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6450</v>
      </c>
      <c r="D37" s="209">
        <f ca="1">D19</f>
        <v>32.25</v>
      </c>
      <c r="E37" s="241">
        <f>'数据-取费表'!B35</f>
        <v>200</v>
      </c>
      <c r="F37" s="251"/>
      <c r="G37" s="253"/>
    </row>
    <row r="38" spans="1:7" ht="13.5" customHeight="1">
      <c r="A38" s="734" t="s">
        <v>354</v>
      </c>
      <c r="B38" s="207" t="s">
        <v>1533</v>
      </c>
      <c r="C38" s="212">
        <f ca="1">ROUND(C34*F38,0)</f>
        <v>2903</v>
      </c>
      <c r="D38" s="212"/>
      <c r="E38" s="212"/>
      <c r="F38" s="251">
        <f>'数据-取费表'!B36</f>
        <v>0.02</v>
      </c>
      <c r="G38" s="211" t="s">
        <v>1528</v>
      </c>
    </row>
    <row r="39" spans="1:7" s="206" customFormat="1" ht="13.5" customHeight="1">
      <c r="A39" s="247" t="s">
        <v>1534</v>
      </c>
      <c r="B39" s="202" t="s">
        <v>1535</v>
      </c>
      <c r="C39" s="224">
        <f ca="1">ROUND(C33*F20,0)</f>
        <v>1690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5291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5239</v>
      </c>
      <c r="D42" s="230"/>
      <c r="E42" s="230"/>
      <c r="F42" s="231"/>
      <c r="G42" s="3351" t="s">
        <v>1591</v>
      </c>
    </row>
    <row r="43" spans="1:7" ht="13.5" customHeight="1">
      <c r="A43" s="734" t="s">
        <v>347</v>
      </c>
      <c r="B43" s="207" t="s">
        <v>1545</v>
      </c>
      <c r="C43" s="230">
        <f ca="1">ROUND(IF('数据-取费表'!B22&lt;=1,C39*F22*'数据-取费表'!B20/2,C39*(POWER((1+F22),'数据-取费表'!B20/2)-1)),0)</f>
        <v>52</v>
      </c>
      <c r="D43" s="230"/>
      <c r="E43" s="230"/>
      <c r="F43" s="231"/>
      <c r="G43" s="3352"/>
    </row>
    <row r="44" spans="1:7" ht="13.5" customHeight="1">
      <c r="A44" s="734" t="s">
        <v>348</v>
      </c>
      <c r="B44" s="207" t="s">
        <v>1546</v>
      </c>
      <c r="C44" s="230">
        <f ca="1">ROUND(IF('数据-取费表'!B22&lt;=1,C40*F22*'数据-取费表'!B20/2,C40*(POWER((1+F22),'数据-取费表'!B20/2)-1)),4)</f>
        <v>8.9999999999999998E-4</v>
      </c>
      <c r="D44" s="230"/>
      <c r="E44" s="230"/>
      <c r="F44" s="231"/>
      <c r="G44" s="3353"/>
    </row>
    <row r="45" spans="1:7" s="206" customFormat="1" ht="13.5" customHeight="1">
      <c r="A45" s="247" t="s">
        <v>1547</v>
      </c>
      <c r="B45" s="236" t="s">
        <v>1513</v>
      </c>
      <c r="C45" s="237">
        <f ca="1">C46</f>
        <v>17068</v>
      </c>
      <c r="D45" s="227">
        <f ca="1">C47</f>
        <v>3.0000000000000001E-3</v>
      </c>
      <c r="E45" s="228" t="s">
        <v>1539</v>
      </c>
      <c r="F45" s="238">
        <f ca="1">F27</f>
        <v>0.1</v>
      </c>
      <c r="G45" s="239" t="s">
        <v>1548</v>
      </c>
    </row>
    <row r="46" spans="1:7" s="206" customFormat="1" ht="13.5" customHeight="1">
      <c r="A46" s="734" t="s">
        <v>346</v>
      </c>
      <c r="B46" s="240" t="s">
        <v>1549</v>
      </c>
      <c r="C46" s="241">
        <f ca="1">ROUND((C33+C39)*F27,0)</f>
        <v>17068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211481</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158611</v>
      </c>
      <c r="D51" s="224"/>
      <c r="E51" s="224"/>
      <c r="F51" s="256"/>
      <c r="G51" s="226" t="s">
        <v>1560</v>
      </c>
    </row>
    <row r="52" spans="1:7" s="200" customFormat="1" ht="16.8" thickBot="1">
      <c r="A52" s="257" t="s">
        <v>1561</v>
      </c>
      <c r="B52" s="258"/>
      <c r="C52" s="259">
        <f ca="1">C31+C51</f>
        <v>269517</v>
      </c>
      <c r="D52" s="258"/>
      <c r="E52" s="258"/>
      <c r="F52" s="258"/>
      <c r="G52" s="260"/>
    </row>
    <row r="55" spans="1:7" ht="15">
      <c r="B55" s="262" t="s">
        <v>1562</v>
      </c>
      <c r="C55" s="263"/>
    </row>
    <row r="56" spans="1:7">
      <c r="B56" s="265" t="s">
        <v>802</v>
      </c>
      <c r="C56" s="267">
        <f ca="1">1-C57</f>
        <v>0.41100000000000003</v>
      </c>
    </row>
    <row r="57" spans="1:7">
      <c r="B57" s="265" t="s">
        <v>803</v>
      </c>
      <c r="C57" s="266">
        <f ca="1">ROUND(C51/C52,3)</f>
        <v>0.58899999999999997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-310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32.25</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2" t="s">
        <v>694</v>
      </c>
      <c r="C6" s="1011">
        <f ca="1">ROUND(F6*F8*F7*(1-F9)/10000,0)</f>
        <v>0</v>
      </c>
      <c r="D6" s="147" t="s">
        <v>2109</v>
      </c>
      <c r="E6" s="294" t="s">
        <v>696</v>
      </c>
      <c r="F6" s="295">
        <f ca="1">INDIRECT("'数据-取费表'!u"&amp;$G$1)</f>
        <v>0</v>
      </c>
      <c r="G6" s="1292"/>
      <c r="H6" s="1006" t="s">
        <v>398</v>
      </c>
      <c r="I6" s="3422" t="s">
        <v>694</v>
      </c>
      <c r="J6" s="293">
        <f ca="1">ROUND(M6*M8*M7*(1-M9)/10000,0)</f>
        <v>0</v>
      </c>
      <c r="K6" s="147" t="s">
        <v>2108</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0</v>
      </c>
      <c r="G7" s="1292"/>
      <c r="H7" s="296"/>
      <c r="I7" s="3423"/>
      <c r="J7" s="298"/>
      <c r="K7" s="299"/>
      <c r="L7" s="294" t="s">
        <v>697</v>
      </c>
      <c r="M7" s="295">
        <f ca="1">F7</f>
        <v>0</v>
      </c>
    </row>
    <row r="8" spans="1:37" ht="18" customHeight="1">
      <c r="A8" s="296"/>
      <c r="B8" s="3423"/>
      <c r="C8" s="298"/>
      <c r="D8" s="299"/>
      <c r="E8" s="294" t="s">
        <v>698</v>
      </c>
      <c r="F8" s="295">
        <f ca="1">INDIRECT("'数据-取费表'!ai"&amp;$G$1)</f>
        <v>0</v>
      </c>
      <c r="G8" s="1292"/>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20" t="s">
        <v>837</v>
      </c>
      <c r="L53" s="342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3492</v>
      </c>
      <c r="D1" s="1271" t="s">
        <v>43</v>
      </c>
      <c r="E1" s="1272" t="s">
        <v>678</v>
      </c>
      <c r="F1" s="999">
        <f ca="1">J53</f>
        <v>28.89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17.928599999999999</v>
      </c>
      <c r="C2" s="1289" t="s">
        <v>879</v>
      </c>
      <c r="D2" s="1375">
        <f ca="1">C40+J29+L46</f>
        <v>179286</v>
      </c>
      <c r="E2" s="1295" t="s">
        <v>880</v>
      </c>
      <c r="F2" s="1296"/>
      <c r="G2" s="2478"/>
      <c r="H2" s="2468"/>
      <c r="I2" s="2468"/>
      <c r="J2" s="2468"/>
      <c r="K2" s="2469"/>
      <c r="L2" s="2468"/>
      <c r="M2" s="2468"/>
    </row>
    <row r="3" spans="1:37" ht="18" customHeight="1" thickBot="1">
      <c r="A3" s="1297" t="s">
        <v>881</v>
      </c>
      <c r="B3" s="1298">
        <f ca="1">IF(ISERROR(D2/F43),0,ROUND(D2/F43,0))</f>
        <v>5559</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5407</v>
      </c>
      <c r="D5" s="1273" t="s">
        <v>889</v>
      </c>
      <c r="E5" s="1008"/>
      <c r="F5" s="1009"/>
      <c r="G5" s="1292"/>
      <c r="H5" s="291">
        <v>1</v>
      </c>
      <c r="I5" s="292" t="s">
        <v>888</v>
      </c>
      <c r="J5" s="1007">
        <f ca="1">J6+J10+J12</f>
        <v>0</v>
      </c>
      <c r="K5" s="1273" t="s">
        <v>889</v>
      </c>
      <c r="L5" s="1008"/>
      <c r="M5" s="1009"/>
    </row>
    <row r="6" spans="1:37" ht="18" customHeight="1">
      <c r="A6" s="1006" t="s">
        <v>398</v>
      </c>
      <c r="B6" s="3422" t="s">
        <v>694</v>
      </c>
      <c r="C6" s="1011">
        <f ca="1">ROUND(F6*F8*F7*(1-F9),0)</f>
        <v>5400</v>
      </c>
      <c r="D6" s="147" t="s">
        <v>2106</v>
      </c>
      <c r="E6" s="294" t="s">
        <v>696</v>
      </c>
      <c r="F6" s="295">
        <f ca="1">INDIRECT("'数据-取费表'!u"&amp;$G$1)</f>
        <v>500</v>
      </c>
      <c r="G6" s="1292"/>
      <c r="H6" s="1006" t="s">
        <v>398</v>
      </c>
      <c r="I6" s="3422" t="s">
        <v>694</v>
      </c>
      <c r="J6" s="293">
        <f ca="1">ROUND(M6*M8*M7*(1-M9),0)</f>
        <v>0</v>
      </c>
      <c r="K6" s="1284" t="s">
        <v>2107</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1</v>
      </c>
      <c r="G7" s="1292"/>
      <c r="H7" s="296"/>
      <c r="I7" s="3423"/>
      <c r="J7" s="298"/>
      <c r="K7" s="299"/>
      <c r="L7" s="294" t="s">
        <v>697</v>
      </c>
      <c r="M7" s="295">
        <f ca="1">F7</f>
        <v>1</v>
      </c>
    </row>
    <row r="8" spans="1:37" ht="18" customHeight="1">
      <c r="A8" s="296"/>
      <c r="B8" s="3423"/>
      <c r="C8" s="298"/>
      <c r="D8" s="299"/>
      <c r="E8" s="294" t="s">
        <v>698</v>
      </c>
      <c r="F8" s="295">
        <f ca="1">INDIRECT("'数据-取费表'!ai"&amp;$G$1)</f>
        <v>12</v>
      </c>
      <c r="G8" s="1292"/>
      <c r="H8" s="296"/>
      <c r="I8" s="3423"/>
      <c r="J8" s="298"/>
      <c r="K8" s="299"/>
      <c r="L8" s="294" t="s">
        <v>698</v>
      </c>
      <c r="M8" s="295">
        <f ca="1">INDIRECT("'数据-取费表'!ai"&amp;$G$1)</f>
        <v>12</v>
      </c>
    </row>
    <row r="9" spans="1:37" ht="18" customHeight="1">
      <c r="A9" s="296"/>
      <c r="B9" s="3424"/>
      <c r="C9" s="298"/>
      <c r="D9" s="299"/>
      <c r="E9" s="294" t="s">
        <v>699</v>
      </c>
      <c r="F9" s="304">
        <f ca="1">INDIRECT("'数据-取费表'!w"&amp;$G$1)</f>
        <v>0.1</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7</v>
      </c>
      <c r="D10" s="150" t="s">
        <v>2116</v>
      </c>
      <c r="E10" s="305" t="s">
        <v>701</v>
      </c>
      <c r="F10" s="1053" t="s">
        <v>3425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158611</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145125</v>
      </c>
      <c r="D14" s="1257" t="s">
        <v>708</v>
      </c>
      <c r="E14" s="1255"/>
      <c r="F14" s="311"/>
      <c r="G14" s="1292"/>
      <c r="H14" s="928" t="s">
        <v>398</v>
      </c>
      <c r="I14" s="294" t="s">
        <v>709</v>
      </c>
      <c r="J14" s="21">
        <f ca="1">C29</f>
        <v>211481</v>
      </c>
      <c r="K14" s="12"/>
      <c r="L14" s="759"/>
      <c r="M14" s="760"/>
    </row>
    <row r="15" spans="1:37" s="1304" customFormat="1" ht="18" customHeight="1" thickBot="1">
      <c r="A15" s="928" t="s">
        <v>399</v>
      </c>
      <c r="B15" s="294" t="s">
        <v>710</v>
      </c>
      <c r="C15" s="21">
        <f ca="1">ROUND(C14*F15,0)</f>
        <v>14513</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423</v>
      </c>
      <c r="K16" s="1024" t="s">
        <v>715</v>
      </c>
      <c r="L16" s="1025"/>
      <c r="M16" s="1009"/>
    </row>
    <row r="17" spans="1:37" s="1304" customFormat="1" ht="18" customHeight="1">
      <c r="A17" s="928" t="s">
        <v>681</v>
      </c>
      <c r="B17" s="294" t="s">
        <v>716</v>
      </c>
      <c r="C17" s="21">
        <f ca="1">ROUND(F17*(F43+INDIRECT("'数据-取费表'!S"&amp;$G$1)),0)</f>
        <v>6450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2903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168991</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1690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423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5291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-423</v>
      </c>
      <c r="K25" s="1032" t="s">
        <v>753</v>
      </c>
      <c r="L25" s="1033"/>
      <c r="M25" s="1034"/>
    </row>
    <row r="26" spans="1:37" ht="18" customHeight="1">
      <c r="A26" s="928" t="s">
        <v>397</v>
      </c>
      <c r="B26" s="294" t="s">
        <v>754</v>
      </c>
      <c r="C26" s="21">
        <f ca="1">ROUND((C19+C20)*F26,0)</f>
        <v>17068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211481</v>
      </c>
      <c r="D29" s="1029"/>
      <c r="E29" s="1027"/>
      <c r="F29" s="1030"/>
      <c r="G29" s="1303"/>
      <c r="H29" s="325" t="s">
        <v>396</v>
      </c>
      <c r="I29" s="326" t="s">
        <v>768</v>
      </c>
      <c r="J29" s="327">
        <f ca="1">ROUND(J26/(1+F40)^F41,0)</f>
        <v>0</v>
      </c>
      <c r="K29" s="328" t="s">
        <v>769</v>
      </c>
      <c r="L29" s="329"/>
      <c r="M29" s="330">
        <f ca="1">INDIRECT("'数据-取费表'!k"&amp;$G$1)</f>
        <v>32.25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996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360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423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159</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54</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4411</v>
      </c>
      <c r="D39" s="1032" t="s">
        <v>773</v>
      </c>
      <c r="E39" s="1033"/>
      <c r="F39" s="1034"/>
      <c r="G39" s="1292"/>
      <c r="H39" s="2473"/>
      <c r="I39" s="1305"/>
      <c r="J39" s="1306"/>
      <c r="K39" s="2471"/>
      <c r="L39" s="2473"/>
      <c r="M39" s="2473"/>
    </row>
    <row r="40" spans="1:18" ht="18" customHeight="1">
      <c r="A40" s="291" t="s">
        <v>395</v>
      </c>
      <c r="B40" s="292" t="s">
        <v>774</v>
      </c>
      <c r="C40" s="293">
        <f ca="1">ROUND(C39*(1-((1+F42)/(1+F40))^F41)/(F40-F42),0)</f>
        <v>94694</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28.89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2936</v>
      </c>
      <c r="D43" s="328" t="s">
        <v>777</v>
      </c>
      <c r="E43" s="329" t="s">
        <v>778</v>
      </c>
      <c r="F43" s="330">
        <f ca="1">INDIRECT("'数据-取费表'!k"&amp;$G$1)</f>
        <v>32.25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-10.4558</v>
      </c>
      <c r="D45" s="3130" t="s">
        <v>3351</v>
      </c>
      <c r="E45" s="1307"/>
      <c r="F45" s="1307"/>
      <c r="O45" s="1310" t="s">
        <v>808</v>
      </c>
      <c r="P45" s="1366"/>
      <c r="Q45" s="1366"/>
      <c r="R45" s="1366"/>
    </row>
    <row r="46" spans="1:18" s="1292" customFormat="1" ht="13.8" thickBot="1">
      <c r="A46" s="1311" t="s">
        <v>809</v>
      </c>
      <c r="C46" s="1312">
        <f ca="1">ROUND(C45,0)</f>
        <v>-10</v>
      </c>
      <c r="D46" s="1313" t="str">
        <f>C2</f>
        <v>万元</v>
      </c>
      <c r="I46" s="1314" t="s">
        <v>810</v>
      </c>
      <c r="J46" s="1315"/>
      <c r="K46" s="1316"/>
      <c r="L46" s="1317">
        <f ca="1">IF(M47="住宅",0,IF(L48&gt;J51,L60,J60))</f>
        <v>84592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3471</v>
      </c>
      <c r="K47" s="1323" t="s">
        <v>816</v>
      </c>
      <c r="L47" s="1324">
        <f ca="1">INDIRECT("'数据-取费表'!d"&amp;$G$1)</f>
        <v>50</v>
      </c>
      <c r="M47" s="1288" t="str">
        <f>IF(ISNUMBER(FIND("住宅",C1)),"住宅","非住宅")</f>
        <v>非住宅</v>
      </c>
      <c r="O47" s="1325" t="s">
        <v>403</v>
      </c>
      <c r="P47" s="1326" t="s">
        <v>817</v>
      </c>
      <c r="Q47" s="1327">
        <f ca="1">C40+J29</f>
        <v>94694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3494</v>
      </c>
      <c r="K48" s="1330" t="s">
        <v>820</v>
      </c>
      <c r="L48" s="1331">
        <f ca="1">INDIRECT("'数据-取费表'!f"&amp;$G$1)</f>
        <v>28.89</v>
      </c>
      <c r="O48" s="1325" t="s">
        <v>404</v>
      </c>
      <c r="P48" s="1326" t="s">
        <v>821</v>
      </c>
      <c r="Q48" s="1327">
        <f ca="1">J60</f>
        <v>84592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211481</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189673</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28.89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28.89</v>
      </c>
      <c r="K53" s="3420" t="s">
        <v>837</v>
      </c>
      <c r="L53" s="3421"/>
      <c r="O53" s="1325" t="s">
        <v>409</v>
      </c>
      <c r="P53" s="1326" t="s">
        <v>838</v>
      </c>
      <c r="Q53" s="1327">
        <f ca="1">Q47+Q48</f>
        <v>179286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0.23499999999999999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158611</v>
      </c>
      <c r="D56" s="1352"/>
      <c r="E56" s="1353"/>
      <c r="F56" s="1345"/>
      <c r="I56" s="1354" t="s">
        <v>842</v>
      </c>
      <c r="J56" s="1355"/>
      <c r="K56" s="1328" t="s">
        <v>843</v>
      </c>
      <c r="L56" s="1331" t="str">
        <f ca="1">IF(L48&lt;J51,"——",L48-J51)</f>
        <v>——</v>
      </c>
      <c r="O56" s="1325" t="s">
        <v>403</v>
      </c>
      <c r="P56" s="1326" t="s">
        <v>817</v>
      </c>
      <c r="Q56" s="1327">
        <f ca="1">C40+J29</f>
        <v>94694</v>
      </c>
      <c r="R56" s="1327" t="s">
        <v>818</v>
      </c>
    </row>
    <row r="57" spans="1:18" s="1292" customFormat="1" ht="24.6" thickBot="1">
      <c r="A57" s="1356"/>
      <c r="B57" s="896" t="s">
        <v>767</v>
      </c>
      <c r="C57" s="230">
        <f ca="1">C29</f>
        <v>211481</v>
      </c>
      <c r="D57" s="1357"/>
      <c r="E57" s="1358"/>
      <c r="F57" s="1359"/>
      <c r="I57" s="1360" t="s">
        <v>844</v>
      </c>
      <c r="J57" s="1361">
        <f ca="1">IF(OR(M47="住宅",J51&lt;L48,J56="是"),"——",J51-L48)</f>
        <v>14.11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582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84592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84592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94694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423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159</v>
      </c>
      <c r="D65" s="910" t="s">
        <v>743</v>
      </c>
      <c r="E65" s="896" t="s">
        <v>744</v>
      </c>
      <c r="F65" s="321">
        <f t="shared" ca="1" si="0"/>
        <v>1E-3</v>
      </c>
      <c r="I65" s="1367" t="s">
        <v>867</v>
      </c>
      <c r="J65" s="610">
        <v>40</v>
      </c>
      <c r="K65" s="610">
        <v>30</v>
      </c>
      <c r="L65" s="610">
        <v>50</v>
      </c>
      <c r="M65" s="1369">
        <v>0.02</v>
      </c>
      <c r="O65" s="1325" t="s">
        <v>403</v>
      </c>
      <c r="P65" s="1326" t="s">
        <v>868</v>
      </c>
      <c r="Q65" s="1327">
        <f ca="1">C40+J29</f>
        <v>94694</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-582</v>
      </c>
      <c r="D67" s="909" t="s">
        <v>753</v>
      </c>
      <c r="E67" s="914"/>
      <c r="F67" s="915"/>
      <c r="O67" s="1334" t="s">
        <v>405</v>
      </c>
      <c r="P67" s="1326" t="s">
        <v>850</v>
      </c>
      <c r="Q67" s="1370">
        <f ca="1">L51</f>
        <v>189673</v>
      </c>
      <c r="R67" s="1327" t="s">
        <v>870</v>
      </c>
    </row>
    <row r="68" spans="1:18" s="1292" customFormat="1" ht="16.2" thickBot="1">
      <c r="A68" s="893" t="s">
        <v>395</v>
      </c>
      <c r="B68" s="894" t="s">
        <v>774</v>
      </c>
      <c r="C68" s="293">
        <f ca="1">ROUND(C67*(1-((1+F70)/(1+F68))^F69)/(F68-F70),0)</f>
        <v>-9864</v>
      </c>
      <c r="D68" s="911" t="s">
        <v>758</v>
      </c>
      <c r="E68" s="896" t="s">
        <v>759</v>
      </c>
      <c r="F68" s="304">
        <f ca="1">F40</f>
        <v>0.04</v>
      </c>
      <c r="O68" s="1334" t="s">
        <v>406</v>
      </c>
      <c r="P68" s="1371" t="s">
        <v>871</v>
      </c>
      <c r="Q68" s="1327">
        <f ca="1">ROUND(Q69-Q70*Q71,0)</f>
        <v>4411</v>
      </c>
      <c r="R68" s="1327" t="s">
        <v>414</v>
      </c>
    </row>
    <row r="69" spans="1:18" s="1292" customFormat="1" ht="13.8" thickBot="1">
      <c r="A69" s="897"/>
      <c r="B69" s="898"/>
      <c r="C69" s="298"/>
      <c r="D69" s="916" t="s">
        <v>762</v>
      </c>
      <c r="E69" s="896" t="s">
        <v>763</v>
      </c>
      <c r="F69" s="324">
        <f ca="1">F41</f>
        <v>28.89</v>
      </c>
      <c r="O69" s="1334" t="s">
        <v>411</v>
      </c>
      <c r="P69" s="1371" t="s">
        <v>872</v>
      </c>
      <c r="Q69" s="1327">
        <f ca="1">C39</f>
        <v>4411</v>
      </c>
      <c r="R69" s="1327" t="s">
        <v>818</v>
      </c>
    </row>
    <row r="70" spans="1:18" s="1292" customFormat="1" ht="13.8" thickBot="1">
      <c r="A70" s="900"/>
      <c r="B70" s="901"/>
      <c r="C70" s="302"/>
      <c r="D70" s="912"/>
      <c r="E70" s="896" t="s">
        <v>766</v>
      </c>
      <c r="F70" s="991"/>
      <c r="O70" s="1334" t="s">
        <v>412</v>
      </c>
      <c r="P70" s="1371" t="s">
        <v>873</v>
      </c>
      <c r="Q70" s="1327">
        <f ca="1">C13</f>
        <v>158611</v>
      </c>
      <c r="R70" s="1327" t="s">
        <v>818</v>
      </c>
    </row>
    <row r="71" spans="1:18" s="1292" customFormat="1" ht="13.8" thickBot="1">
      <c r="A71" s="917" t="s">
        <v>396</v>
      </c>
      <c r="B71" s="918" t="s">
        <v>776</v>
      </c>
      <c r="C71" s="327">
        <f ca="1">ROUND(C68/F71,0)</f>
        <v>-306</v>
      </c>
      <c r="D71" s="919" t="s">
        <v>777</v>
      </c>
      <c r="E71" s="920" t="s">
        <v>778</v>
      </c>
      <c r="F71" s="330">
        <f ca="1">F43</f>
        <v>32.25</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94694</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-0.67500000000000004</v>
      </c>
    </row>
    <row r="83" spans="2:3">
      <c r="B83" s="265" t="s">
        <v>803</v>
      </c>
      <c r="C83" s="266">
        <f ca="1">ROUND(C13/C40,3)</f>
        <v>1.675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O14" sqref="O14"/>
    </sheetView>
  </sheetViews>
  <sheetFormatPr defaultRowHeight="14.4"/>
  <cols>
    <col min="2" max="2" width="15.21875" customWidth="1"/>
    <col min="3" max="3" width="11.44140625" customWidth="1"/>
    <col min="5" max="5" width="18.21875" customWidth="1"/>
  </cols>
  <sheetData>
    <row r="1" spans="1:6" s="3165" customFormat="1">
      <c r="A1" s="1448" t="s">
        <v>3479</v>
      </c>
      <c r="B1" s="1448" t="s">
        <v>3480</v>
      </c>
      <c r="C1" s="1448" t="s">
        <v>3485</v>
      </c>
      <c r="D1" s="1448" t="s">
        <v>3481</v>
      </c>
      <c r="E1" s="1448" t="s">
        <v>3484</v>
      </c>
    </row>
    <row r="2" spans="1:6" s="2813" customFormat="1">
      <c r="A2" s="3168" t="s">
        <v>3488</v>
      </c>
      <c r="B2" s="1448" t="s">
        <v>3482</v>
      </c>
      <c r="C2" s="1448">
        <v>25</v>
      </c>
      <c r="D2" s="3165">
        <v>20</v>
      </c>
      <c r="E2" s="1448" t="s">
        <v>3483</v>
      </c>
    </row>
    <row r="3" spans="1:6" s="2813" customFormat="1">
      <c r="A3" s="3168" t="s">
        <v>3489</v>
      </c>
      <c r="B3" s="1448" t="s">
        <v>3482</v>
      </c>
      <c r="C3" s="1448">
        <v>25</v>
      </c>
      <c r="D3" s="3165">
        <v>20</v>
      </c>
      <c r="E3" s="1448" t="s">
        <v>3483</v>
      </c>
    </row>
    <row r="4" spans="1:6">
      <c r="A4" s="3168" t="s">
        <v>3488</v>
      </c>
      <c r="B4" s="3167">
        <v>44843</v>
      </c>
      <c r="C4" s="1448">
        <v>25</v>
      </c>
      <c r="D4" s="3165">
        <v>17</v>
      </c>
      <c r="E4" s="1448" t="s">
        <v>3483</v>
      </c>
      <c r="F4" s="3166" t="s">
        <v>3487</v>
      </c>
    </row>
    <row r="5" spans="1:6">
      <c r="A5" s="3168" t="s">
        <v>3489</v>
      </c>
      <c r="B5" s="3167">
        <v>44843</v>
      </c>
      <c r="C5" s="1448">
        <v>25</v>
      </c>
      <c r="D5" s="3165">
        <v>17</v>
      </c>
      <c r="E5" s="1448" t="s">
        <v>3483</v>
      </c>
      <c r="F5" s="3166" t="s">
        <v>3486</v>
      </c>
    </row>
    <row r="6" spans="1:6">
      <c r="A6" s="3168" t="s">
        <v>3490</v>
      </c>
      <c r="B6" s="3167">
        <v>45427</v>
      </c>
      <c r="C6" s="1448">
        <v>30</v>
      </c>
      <c r="D6" s="3165">
        <v>21</v>
      </c>
      <c r="E6" s="1448" t="s">
        <v>3483</v>
      </c>
      <c r="F6" s="3166" t="s">
        <v>3491</v>
      </c>
    </row>
  </sheetData>
  <phoneticPr fontId="134" type="noConversion"/>
  <hyperlinks>
    <hyperlink ref="F5" r:id="rId1"/>
    <hyperlink ref="F4" r:id="rId2"/>
    <hyperlink ref="F6" r:id="rId3"/>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3357</v>
      </c>
      <c r="E2" s="3139"/>
      <c r="F2" s="2597"/>
      <c r="G2" s="2598"/>
      <c r="H2" s="2599"/>
      <c r="I2" s="2600"/>
      <c r="J2" s="3425" t="s">
        <v>2316</v>
      </c>
      <c r="K2" s="3426"/>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427" t="s">
        <v>2326</v>
      </c>
      <c r="K3" s="3428"/>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427" t="s">
        <v>2328</v>
      </c>
      <c r="K4" s="3428"/>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429" t="s">
        <v>2332</v>
      </c>
      <c r="B6" s="3430"/>
      <c r="C6" s="3431"/>
      <c r="D6" s="2621"/>
      <c r="E6" s="2622"/>
      <c r="F6" s="2623"/>
      <c r="G6" s="2624"/>
      <c r="H6" s="2599"/>
      <c r="I6" s="2600"/>
      <c r="J6" s="3432">
        <v>1</v>
      </c>
      <c r="K6" s="3433"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432"/>
      <c r="K7" s="3434"/>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436" t="s">
        <v>2346</v>
      </c>
      <c r="C8" s="3437"/>
      <c r="D8" s="2640" t="s">
        <v>2347</v>
      </c>
      <c r="E8" s="2641" t="s">
        <v>2348</v>
      </c>
      <c r="F8" s="2642" t="s">
        <v>2349</v>
      </c>
      <c r="G8" s="2643"/>
      <c r="H8" s="2599"/>
      <c r="I8" s="2600"/>
      <c r="J8" s="3432"/>
      <c r="K8" s="3434"/>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436" t="s">
        <v>2352</v>
      </c>
      <c r="C9" s="3437"/>
      <c r="D9" s="2640">
        <f>ROUND(D6*E9,0)</f>
        <v>0</v>
      </c>
      <c r="E9" s="2644"/>
      <c r="F9" s="2645" t="s">
        <v>2353</v>
      </c>
      <c r="G9" s="2624"/>
      <c r="H9" s="2599"/>
      <c r="I9" s="2600"/>
      <c r="J9" s="3432"/>
      <c r="K9" s="3434"/>
      <c r="L9" s="2634" t="s">
        <v>2354</v>
      </c>
      <c r="M9" s="2635"/>
      <c r="N9" s="2611"/>
      <c r="O9" s="2636"/>
      <c r="P9" s="2636"/>
      <c r="Q9" s="2637">
        <v>365</v>
      </c>
      <c r="R9" s="2638">
        <f t="shared" si="0"/>
        <v>0</v>
      </c>
      <c r="S9" s="2592"/>
      <c r="T9" s="2592"/>
      <c r="U9" s="2592"/>
      <c r="V9" s="2600"/>
    </row>
    <row r="10" spans="1:22" s="2604" customFormat="1" ht="13.2" customHeight="1">
      <c r="A10" s="2639">
        <v>2</v>
      </c>
      <c r="B10" s="3436" t="s">
        <v>2355</v>
      </c>
      <c r="C10" s="3437"/>
      <c r="D10" s="2640">
        <f>ROUND(D6*E10,0)</f>
        <v>0</v>
      </c>
      <c r="E10" s="2644"/>
      <c r="F10" s="2645" t="s">
        <v>2356</v>
      </c>
      <c r="G10" s="2624"/>
      <c r="H10" s="2599"/>
      <c r="I10" s="2600"/>
      <c r="J10" s="3432"/>
      <c r="K10" s="3434"/>
      <c r="L10" s="2634" t="s">
        <v>2357</v>
      </c>
      <c r="M10" s="2635"/>
      <c r="N10" s="2611"/>
      <c r="O10" s="2636"/>
      <c r="P10" s="2636"/>
      <c r="Q10" s="2637">
        <v>365</v>
      </c>
      <c r="R10" s="2638">
        <f t="shared" si="0"/>
        <v>0</v>
      </c>
      <c r="S10" s="2592"/>
      <c r="T10" s="2592"/>
      <c r="U10" s="2592"/>
      <c r="V10" s="2600"/>
    </row>
    <row r="11" spans="1:22" s="2604" customFormat="1" ht="13.2" customHeight="1">
      <c r="A11" s="2639">
        <v>3</v>
      </c>
      <c r="B11" s="3436" t="s">
        <v>2358</v>
      </c>
      <c r="C11" s="3437"/>
      <c r="D11" s="2640">
        <f>D12+D14+D15+D16</f>
        <v>0</v>
      </c>
      <c r="E11" s="2646" t="e">
        <f>D11/D6</f>
        <v>#DIV/0!</v>
      </c>
      <c r="F11" s="2642"/>
      <c r="G11" s="2643"/>
      <c r="H11" s="2599"/>
      <c r="I11" s="2600"/>
      <c r="J11" s="3432"/>
      <c r="K11" s="3434"/>
      <c r="L11" s="2634" t="s">
        <v>2359</v>
      </c>
      <c r="M11" s="2635"/>
      <c r="N11" s="2611"/>
      <c r="O11" s="2636"/>
      <c r="P11" s="2636"/>
      <c r="Q11" s="2637">
        <v>365</v>
      </c>
      <c r="R11" s="2638">
        <f t="shared" si="0"/>
        <v>0</v>
      </c>
      <c r="S11" s="2592"/>
      <c r="T11" s="2592"/>
      <c r="U11" s="2592"/>
      <c r="V11" s="2600"/>
    </row>
    <row r="12" spans="1:22" s="2604" customFormat="1" ht="13.2" customHeight="1">
      <c r="A12" s="2647" t="s">
        <v>2360</v>
      </c>
      <c r="B12" s="3438" t="s">
        <v>2361</v>
      </c>
      <c r="C12" s="3439"/>
      <c r="D12" s="2648">
        <f>ROUND(D13*1.2%*(1-30%),0)</f>
        <v>0</v>
      </c>
      <c r="E12" s="2649">
        <v>1.2E-2</v>
      </c>
      <c r="F12" s="2642" t="s">
        <v>2362</v>
      </c>
      <c r="G12" s="2643"/>
      <c r="H12" s="2599"/>
      <c r="I12" s="2600"/>
      <c r="J12" s="3432"/>
      <c r="K12" s="3434"/>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432"/>
      <c r="K13" s="3434"/>
      <c r="L13" s="2634" t="s">
        <v>2365</v>
      </c>
      <c r="M13" s="2635"/>
      <c r="N13" s="2611"/>
      <c r="O13" s="2636"/>
      <c r="P13" s="2636"/>
      <c r="Q13" s="2637">
        <v>365</v>
      </c>
      <c r="R13" s="2638">
        <f t="shared" si="0"/>
        <v>0</v>
      </c>
      <c r="S13" s="2592"/>
      <c r="T13" s="2592"/>
      <c r="U13" s="2592"/>
      <c r="V13" s="2600"/>
    </row>
    <row r="14" spans="1:22" s="2604" customFormat="1" ht="13.2" customHeight="1">
      <c r="A14" s="2647" t="s">
        <v>2366</v>
      </c>
      <c r="B14" s="3438" t="s">
        <v>2367</v>
      </c>
      <c r="C14" s="3439"/>
      <c r="D14" s="2648">
        <f>ROUND(E14*B5/10000,0)</f>
        <v>0</v>
      </c>
      <c r="E14" s="2637"/>
      <c r="F14" s="2642" t="s">
        <v>2368</v>
      </c>
      <c r="G14" s="2643"/>
      <c r="H14" s="2599"/>
      <c r="I14" s="2600"/>
      <c r="J14" s="3432"/>
      <c r="K14" s="3435"/>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438" t="s">
        <v>2371</v>
      </c>
      <c r="C15" s="3439"/>
      <c r="D15" s="2648">
        <f>ROUND(D6*E15,0)</f>
        <v>0</v>
      </c>
      <c r="E15" s="2649">
        <v>5.5E-2</v>
      </c>
      <c r="F15" s="2642" t="s">
        <v>2372</v>
      </c>
      <c r="G15" s="2624"/>
      <c r="H15" s="2599"/>
      <c r="I15" s="2600"/>
      <c r="J15" s="3432">
        <v>2</v>
      </c>
      <c r="K15" s="3433"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438" t="s">
        <v>2380</v>
      </c>
      <c r="C16" s="3439"/>
      <c r="D16" s="2659">
        <f>D6*E16</f>
        <v>0</v>
      </c>
      <c r="E16" s="2660"/>
      <c r="F16" s="2645" t="s">
        <v>2381</v>
      </c>
      <c r="G16" s="2624"/>
      <c r="H16" s="2599"/>
      <c r="I16" s="2600"/>
      <c r="J16" s="3432"/>
      <c r="K16" s="3434"/>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440" t="s">
        <v>2383</v>
      </c>
      <c r="C17" s="3441"/>
      <c r="D17" s="2662">
        <f>ROUND(D6*E17,0)</f>
        <v>0</v>
      </c>
      <c r="E17" s="2663"/>
      <c r="F17" s="2664" t="s">
        <v>2384</v>
      </c>
      <c r="G17" s="2624"/>
      <c r="H17" s="2599"/>
      <c r="I17" s="2600"/>
      <c r="J17" s="3432"/>
      <c r="K17" s="3434"/>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432"/>
      <c r="K18" s="3434"/>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432"/>
      <c r="K19" s="3435"/>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32">
        <v>3</v>
      </c>
      <c r="K20" s="3433"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432"/>
      <c r="K21" s="3434"/>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432"/>
      <c r="K22" s="3434"/>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432"/>
      <c r="K23" s="3434"/>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432"/>
      <c r="K24" s="3435"/>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442">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443"/>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425" t="s">
        <v>2316</v>
      </c>
      <c r="K32" s="3426"/>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427" t="s">
        <v>2326</v>
      </c>
      <c r="K33" s="3428"/>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427" t="s">
        <v>2328</v>
      </c>
      <c r="K34" s="3428"/>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432">
        <v>1</v>
      </c>
      <c r="K36" s="3433"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432"/>
      <c r="K37" s="3434"/>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32"/>
      <c r="K38" s="3434"/>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432"/>
      <c r="K39" s="3434"/>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432"/>
      <c r="K40" s="3435"/>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442">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443"/>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17.928599999999999</v>
      </c>
      <c r="C2" s="1729" t="s">
        <v>1651</v>
      </c>
      <c r="D2" s="1730" t="s">
        <v>1652</v>
      </c>
      <c r="E2" s="2392">
        <f>SUM(E6:E13)</f>
        <v>32.25</v>
      </c>
      <c r="F2" s="2479"/>
      <c r="G2" s="459"/>
      <c r="H2" s="459"/>
      <c r="I2" s="459"/>
      <c r="J2" s="459"/>
      <c r="K2" s="459"/>
      <c r="L2" s="459"/>
      <c r="M2" s="459"/>
      <c r="N2" s="459"/>
      <c r="O2" s="459"/>
      <c r="P2" s="459"/>
      <c r="Q2" s="459"/>
      <c r="R2" s="459"/>
      <c r="S2" s="459"/>
    </row>
    <row r="3" spans="1:22" ht="15.6">
      <c r="A3" s="1728" t="s">
        <v>686</v>
      </c>
      <c r="B3" s="2386">
        <f ca="1">ROUND(B2*10000/E2,0)</f>
        <v>5559</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44" t="s">
        <v>1654</v>
      </c>
      <c r="C5" s="3445"/>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17.928599999999999</v>
      </c>
      <c r="C6" s="1729" t="s">
        <v>1651</v>
      </c>
      <c r="D6" s="2479"/>
      <c r="E6" s="2391">
        <f>IF(OR(A6=0,F6="否"),0,'数据-取费表'!K6+'数据-取费表'!S6)</f>
        <v>32.25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32.25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405"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405"/>
      <c r="AC5" s="3374"/>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01"/>
      <c r="Q6" s="3402"/>
      <c r="R6" s="3380"/>
      <c r="S6" s="3381"/>
      <c r="T6" s="3403"/>
      <c r="U6" s="3404"/>
      <c r="V6" s="3405"/>
      <c r="W6" s="3405"/>
      <c r="X6" s="1265"/>
      <c r="Y6" s="3403"/>
      <c r="Z6" s="3404"/>
      <c r="AA6" s="3375"/>
      <c r="AB6" s="3405"/>
      <c r="AC6" s="3375"/>
    </row>
    <row r="7" spans="1:29" s="102" customFormat="1" ht="15" thickBot="1">
      <c r="A7" s="352" t="s">
        <v>1679</v>
      </c>
      <c r="B7" s="353"/>
      <c r="C7" s="354">
        <f>'数据-取费表'!B2</f>
        <v>45737</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6"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2"/>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19"/>
      <c r="Q18" s="1263"/>
      <c r="R18" s="667"/>
      <c r="S18" s="668"/>
      <c r="T18" s="667"/>
      <c r="U18" s="668"/>
      <c r="V18" s="667"/>
      <c r="W18" s="668"/>
      <c r="X18" s="1265"/>
      <c r="Y18" s="341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19"/>
      <c r="Q20" s="1263"/>
      <c r="R20" s="667"/>
      <c r="S20" s="668"/>
      <c r="T20" s="667"/>
      <c r="U20" s="668"/>
      <c r="V20" s="667"/>
      <c r="W20" s="668"/>
      <c r="X20" s="1265"/>
      <c r="Y20" s="341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19"/>
      <c r="Q22" s="1263"/>
      <c r="R22" s="667"/>
      <c r="S22" s="668"/>
      <c r="T22" s="667"/>
      <c r="U22" s="668"/>
      <c r="V22" s="667"/>
      <c r="W22" s="668"/>
      <c r="X22" s="1265"/>
      <c r="Y22" s="341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1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估价对象为北京市房地产，为所有。根据《国有土地使用证》[]，估价对象（分摊）出让国有建设用地使用权面积为0平方米，建筑面积为32.25平方米。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估价对象为北京市房地产,为开发建设的，该项目尚在开发建设中。根据《国有土地使用证》[]，估价对象（分摊）出让国有建设用地使用权面积为0平方米，规划建筑面积为32.25平方米。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2025年3月21日（评估专业人员实地查勘之日）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32.25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454" t="s">
        <v>1775</v>
      </c>
      <c r="Q4" s="3455"/>
      <c r="R4" s="3449" t="s">
        <v>1771</v>
      </c>
      <c r="S4" s="3450"/>
      <c r="T4" s="3449" t="s">
        <v>1772</v>
      </c>
      <c r="U4" s="3450"/>
      <c r="V4" s="3458" t="s">
        <v>1773</v>
      </c>
      <c r="W4" s="3458"/>
      <c r="X4" s="1809"/>
      <c r="Y4" s="3449" t="s">
        <v>1775</v>
      </c>
      <c r="Z4" s="3450"/>
      <c r="AA4" s="3448" t="s">
        <v>1771</v>
      </c>
      <c r="AB4" s="3448" t="s">
        <v>1772</v>
      </c>
      <c r="AC4" s="3451" t="s">
        <v>1773</v>
      </c>
    </row>
    <row r="5" spans="1:29">
      <c r="A5" s="348"/>
      <c r="B5" s="349"/>
      <c r="C5" s="3384" t="s">
        <v>1673</v>
      </c>
      <c r="D5" s="3385"/>
      <c r="E5" s="3446" t="s">
        <v>1674</v>
      </c>
      <c r="F5" s="3383"/>
      <c r="G5" s="3384" t="s">
        <v>1675</v>
      </c>
      <c r="H5" s="3385"/>
      <c r="I5" s="3384" t="s">
        <v>1676</v>
      </c>
      <c r="J5" s="3385"/>
      <c r="K5" s="537"/>
      <c r="L5" s="2486"/>
      <c r="M5" s="2487"/>
      <c r="N5" s="2487"/>
      <c r="O5" s="2487"/>
      <c r="P5" s="3456"/>
      <c r="Q5" s="3400"/>
      <c r="R5" s="3380"/>
      <c r="S5" s="3381"/>
      <c r="T5" s="3380"/>
      <c r="U5" s="3381"/>
      <c r="V5" s="3405"/>
      <c r="W5" s="3405"/>
      <c r="X5" s="1265"/>
      <c r="Y5" s="3380"/>
      <c r="Z5" s="3381"/>
      <c r="AA5" s="3374"/>
      <c r="AB5" s="3374"/>
      <c r="AC5" s="3452"/>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57"/>
      <c r="Q6" s="3402"/>
      <c r="R6" s="3380"/>
      <c r="S6" s="3381"/>
      <c r="T6" s="3403"/>
      <c r="U6" s="3404"/>
      <c r="V6" s="3405"/>
      <c r="W6" s="3405"/>
      <c r="X6" s="1265"/>
      <c r="Y6" s="3403"/>
      <c r="Z6" s="3404"/>
      <c r="AA6" s="3375"/>
      <c r="AB6" s="3375"/>
      <c r="AC6" s="3453"/>
    </row>
    <row r="7" spans="1:29" s="102" customFormat="1" ht="15" thickBot="1">
      <c r="A7" s="352" t="s">
        <v>1679</v>
      </c>
      <c r="B7" s="353"/>
      <c r="C7" s="354">
        <f>'数据-取费表'!B2</f>
        <v>45737</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9"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9" t="s">
        <v>1683</v>
      </c>
      <c r="Q8" s="3377"/>
      <c r="R8" s="664" t="s">
        <v>14</v>
      </c>
      <c r="S8" s="665">
        <f t="shared" si="0"/>
        <v>100</v>
      </c>
      <c r="T8" s="664" t="s">
        <v>14</v>
      </c>
      <c r="U8" s="665">
        <f t="shared" si="1"/>
        <v>100</v>
      </c>
      <c r="V8" s="664" t="s">
        <v>14</v>
      </c>
      <c r="W8" s="665">
        <f t="shared" si="2"/>
        <v>100</v>
      </c>
      <c r="X8" s="666"/>
      <c r="Y8" s="3376" t="s">
        <v>1683</v>
      </c>
      <c r="Z8" s="337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19"/>
      <c r="Q16" s="1263"/>
      <c r="R16" s="667"/>
      <c r="S16" s="668"/>
      <c r="T16" s="667"/>
      <c r="U16" s="668"/>
      <c r="V16" s="667"/>
      <c r="W16" s="668"/>
      <c r="X16" s="1265"/>
      <c r="Y16" s="341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19"/>
      <c r="Q18" s="1263"/>
      <c r="R18" s="667"/>
      <c r="S18" s="668"/>
      <c r="T18" s="667"/>
      <c r="U18" s="668"/>
      <c r="V18" s="667"/>
      <c r="W18" s="668"/>
      <c r="X18" s="1265"/>
      <c r="Y18" s="341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19"/>
      <c r="Q20" s="1263"/>
      <c r="R20" s="667"/>
      <c r="S20" s="668"/>
      <c r="T20" s="667"/>
      <c r="U20" s="668"/>
      <c r="V20" s="667"/>
      <c r="W20" s="668"/>
      <c r="X20" s="1265"/>
      <c r="Y20" s="341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19"/>
      <c r="Q22" s="1263"/>
      <c r="R22" s="667"/>
      <c r="S22" s="668"/>
      <c r="T22" s="667"/>
      <c r="U22" s="668"/>
      <c r="V22" s="667"/>
      <c r="W22" s="668"/>
      <c r="X22" s="1265"/>
      <c r="Y22" s="341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19"/>
      <c r="Q24" s="1263"/>
      <c r="R24" s="667"/>
      <c r="S24" s="668"/>
      <c r="T24" s="667"/>
      <c r="U24" s="668"/>
      <c r="V24" s="667"/>
      <c r="W24" s="668"/>
      <c r="X24" s="1265"/>
      <c r="Y24" s="341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19"/>
      <c r="Q26" s="1263"/>
      <c r="R26" s="667"/>
      <c r="S26" s="668"/>
      <c r="T26" s="667"/>
      <c r="U26" s="668"/>
      <c r="V26" s="667"/>
      <c r="W26" s="668"/>
      <c r="X26" s="1265"/>
      <c r="Y26" s="341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9"/>
      <c r="Q27" s="1263" t="str">
        <f t="shared" ref="Q27:Q47" si="11">B27</f>
        <v>楼层</v>
      </c>
      <c r="R27" s="667" t="s">
        <v>14</v>
      </c>
      <c r="S27" s="668">
        <f>F27</f>
        <v>100</v>
      </c>
      <c r="T27" s="667" t="s">
        <v>14</v>
      </c>
      <c r="U27" s="668">
        <f>H27</f>
        <v>100</v>
      </c>
      <c r="V27" s="667" t="s">
        <v>14</v>
      </c>
      <c r="W27" s="668">
        <f>J27</f>
        <v>100</v>
      </c>
      <c r="X27" s="1265"/>
      <c r="Y27" s="341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1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4"/>
      <c r="Q34" s="531" t="str">
        <f t="shared" si="11"/>
        <v>项目建筑规模</v>
      </c>
      <c r="R34" s="669" t="s">
        <v>14</v>
      </c>
      <c r="S34" s="670" t="e">
        <f t="shared" si="12"/>
        <v>#N/A</v>
      </c>
      <c r="T34" s="669" t="s">
        <v>14</v>
      </c>
      <c r="U34" s="670" t="e">
        <f t="shared" si="13"/>
        <v>#N/A</v>
      </c>
      <c r="V34" s="669" t="s">
        <v>14</v>
      </c>
      <c r="W34" s="670" t="e">
        <f t="shared" si="14"/>
        <v>#N/A</v>
      </c>
      <c r="X34" s="671"/>
      <c r="Y34" s="341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4"/>
      <c r="Q37" s="1263" t="str">
        <f t="shared" si="11"/>
        <v>成新度</v>
      </c>
      <c r="R37" s="667" t="s">
        <v>14</v>
      </c>
      <c r="S37" s="668" t="e">
        <f t="shared" si="12"/>
        <v>#N/A</v>
      </c>
      <c r="T37" s="667" t="s">
        <v>14</v>
      </c>
      <c r="U37" s="668" t="e">
        <f t="shared" si="13"/>
        <v>#N/A</v>
      </c>
      <c r="V37" s="667" t="s">
        <v>14</v>
      </c>
      <c r="W37" s="668" t="e">
        <f t="shared" si="14"/>
        <v>#N/A</v>
      </c>
      <c r="X37" s="1265"/>
      <c r="Y37" s="341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4"/>
      <c r="Q43" s="1263" t="str">
        <f t="shared" si="11"/>
        <v>内部装修</v>
      </c>
      <c r="R43" s="667" t="s">
        <v>14</v>
      </c>
      <c r="S43" s="668">
        <f t="shared" si="12"/>
        <v>100</v>
      </c>
      <c r="T43" s="667" t="s">
        <v>14</v>
      </c>
      <c r="U43" s="668">
        <f t="shared" si="13"/>
        <v>100</v>
      </c>
      <c r="V43" s="667" t="s">
        <v>14</v>
      </c>
      <c r="W43" s="668">
        <f t="shared" si="14"/>
        <v>100</v>
      </c>
      <c r="X43" s="1265"/>
      <c r="Y43" s="341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2" t="str">
        <f>A48</f>
        <v>成交单价（元/平方米）</v>
      </c>
      <c r="Q48" s="3410"/>
      <c r="R48" s="3405">
        <f>E48</f>
        <v>0</v>
      </c>
      <c r="S48" s="3405"/>
      <c r="T48" s="3405">
        <f>G48</f>
        <v>0</v>
      </c>
      <c r="U48" s="3405"/>
      <c r="V48" s="3405">
        <f>I48</f>
        <v>0</v>
      </c>
      <c r="W48" s="3405"/>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2" t="str">
        <f>A49</f>
        <v>比较价值（元/平方米）</v>
      </c>
      <c r="Q49" s="341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860"/>
      <c r="M5" s="861"/>
      <c r="N5" s="861"/>
      <c r="O5" s="861"/>
      <c r="P5" s="3399"/>
      <c r="Q5" s="3400"/>
      <c r="R5" s="3380"/>
      <c r="S5" s="3381"/>
      <c r="T5" s="3380"/>
      <c r="U5" s="3381"/>
      <c r="V5" s="3405"/>
      <c r="W5" s="3405"/>
      <c r="X5" s="1265"/>
      <c r="Y5" s="3380"/>
      <c r="Z5" s="3381"/>
      <c r="AA5" s="3374"/>
      <c r="AB5" s="3374"/>
      <c r="AC5" s="3374"/>
    </row>
    <row r="6" spans="1:29" ht="15" thickBot="1">
      <c r="A6" s="350"/>
      <c r="B6" s="351"/>
      <c r="C6" s="3386" t="s">
        <v>1677</v>
      </c>
      <c r="D6" s="3387"/>
      <c r="E6" s="3447" t="s">
        <v>1677</v>
      </c>
      <c r="F6" s="3390"/>
      <c r="G6" s="3386" t="s">
        <v>1677</v>
      </c>
      <c r="H6" s="3387"/>
      <c r="I6" s="3386" t="s">
        <v>1677</v>
      </c>
      <c r="J6" s="3387"/>
      <c r="K6" s="537" t="s">
        <v>1678</v>
      </c>
      <c r="L6" s="860"/>
      <c r="M6" s="861"/>
      <c r="N6" s="861"/>
      <c r="O6" s="861"/>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45737</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45737</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6" t="s">
        <v>1680</v>
      </c>
      <c r="Q7" s="3406"/>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0"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0"/>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0"/>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2"/>
      <c r="Q15" s="1263"/>
      <c r="R15" s="667"/>
      <c r="S15" s="668"/>
      <c r="T15" s="667"/>
      <c r="U15" s="668"/>
      <c r="V15" s="667"/>
      <c r="W15" s="668"/>
      <c r="X15" s="1265"/>
      <c r="Y15" s="341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2"/>
      <c r="Q17" s="1263"/>
      <c r="R17" s="667"/>
      <c r="S17" s="668"/>
      <c r="T17" s="667"/>
      <c r="U17" s="668"/>
      <c r="V17" s="667"/>
      <c r="W17" s="668"/>
      <c r="X17" s="1265"/>
      <c r="Y17" s="341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2"/>
      <c r="Q19" s="1263"/>
      <c r="R19" s="667"/>
      <c r="S19" s="668"/>
      <c r="T19" s="667"/>
      <c r="U19" s="668"/>
      <c r="V19" s="667"/>
      <c r="W19" s="668"/>
      <c r="X19" s="1265"/>
      <c r="Y19" s="341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4"/>
      <c r="M37" s="2487"/>
      <c r="N37" s="2487"/>
      <c r="O37" s="2487"/>
      <c r="P37" s="3410" t="str">
        <f>A37</f>
        <v>成交单价</v>
      </c>
      <c r="Q37" s="3410"/>
      <c r="R37" s="3405">
        <f>E37</f>
        <v>0</v>
      </c>
      <c r="S37" s="3405"/>
      <c r="T37" s="3405">
        <f>G37</f>
        <v>0</v>
      </c>
      <c r="U37" s="3405"/>
      <c r="V37" s="3405">
        <f>I37</f>
        <v>0</v>
      </c>
      <c r="W37" s="340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07" t="str">
        <f>A39</f>
        <v>估价对象XX用房的比较价值（楼面单价，元/平方米）</v>
      </c>
      <c r="Q39" s="3408"/>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45737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76" t="s">
        <v>1680</v>
      </c>
      <c r="Q7" s="3406"/>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0"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0"/>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0"/>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0"/>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2"/>
      <c r="Q15" s="1263"/>
      <c r="R15" s="667"/>
      <c r="S15" s="668"/>
      <c r="T15" s="667"/>
      <c r="U15" s="668"/>
      <c r="V15" s="667"/>
      <c r="W15" s="668"/>
      <c r="X15" s="1265"/>
      <c r="Y15" s="341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2"/>
      <c r="Q17" s="1263"/>
      <c r="R17" s="667"/>
      <c r="S17" s="668"/>
      <c r="T17" s="667"/>
      <c r="U17" s="668"/>
      <c r="V17" s="667"/>
      <c r="W17" s="668"/>
      <c r="X17" s="1265"/>
      <c r="Y17" s="341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2"/>
      <c r="Q19" s="1263"/>
      <c r="R19" s="667"/>
      <c r="S19" s="668"/>
      <c r="T19" s="667"/>
      <c r="U19" s="668"/>
      <c r="V19" s="667"/>
      <c r="W19" s="668"/>
      <c r="X19" s="1265"/>
      <c r="Y19" s="341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07" t="str">
        <f>A37</f>
        <v>估价对象XX用房的比较价值（楼面单价，元/平方米）</v>
      </c>
      <c r="Q37" s="3408"/>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45737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76"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0"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0"/>
      <c r="Q10" s="530" t="str">
        <f t="shared" si="6"/>
        <v>土地使用年限（年）</v>
      </c>
      <c r="R10" s="664" t="s">
        <v>14</v>
      </c>
      <c r="S10" s="665" t="e">
        <f t="shared" si="0"/>
        <v>#DIV/0!</v>
      </c>
      <c r="T10" s="664" t="s">
        <v>14</v>
      </c>
      <c r="U10" s="665" t="e">
        <f t="shared" si="1"/>
        <v>#DIV/0!</v>
      </c>
      <c r="V10" s="664" t="s">
        <v>14</v>
      </c>
      <c r="W10" s="665" t="e">
        <f t="shared" si="2"/>
        <v>#DIV/0!</v>
      </c>
      <c r="X10" s="666"/>
      <c r="Y10" s="332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0"/>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0"/>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0"/>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2"/>
      <c r="Q16" s="1263"/>
      <c r="R16" s="667"/>
      <c r="S16" s="668"/>
      <c r="T16" s="667"/>
      <c r="U16" s="668"/>
      <c r="V16" s="667"/>
      <c r="W16" s="668"/>
      <c r="X16" s="1265"/>
      <c r="Y16" s="341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2"/>
      <c r="Q18" s="1263"/>
      <c r="R18" s="667"/>
      <c r="S18" s="668"/>
      <c r="T18" s="667"/>
      <c r="U18" s="668"/>
      <c r="V18" s="667"/>
      <c r="W18" s="668"/>
      <c r="X18" s="1265"/>
      <c r="Y18" s="341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2"/>
      <c r="Q20" s="1263"/>
      <c r="R20" s="667"/>
      <c r="S20" s="668"/>
      <c r="T20" s="667"/>
      <c r="U20" s="668"/>
      <c r="V20" s="667"/>
      <c r="W20" s="668"/>
      <c r="X20" s="1265"/>
      <c r="Y20" s="341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2"/>
      <c r="Q22" s="1263"/>
      <c r="R22" s="667"/>
      <c r="S22" s="668"/>
      <c r="T22" s="667"/>
      <c r="U22" s="668"/>
      <c r="V22" s="667"/>
      <c r="W22" s="668"/>
      <c r="X22" s="1265"/>
      <c r="Y22" s="341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2"/>
      <c r="Q24" s="1263"/>
      <c r="R24" s="667"/>
      <c r="S24" s="668"/>
      <c r="T24" s="667"/>
      <c r="U24" s="668"/>
      <c r="V24" s="667"/>
      <c r="W24" s="668"/>
      <c r="X24" s="1265"/>
      <c r="Y24" s="341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2"/>
      <c r="Q26" s="1263"/>
      <c r="R26" s="667"/>
      <c r="S26" s="668"/>
      <c r="T26" s="667"/>
      <c r="U26" s="668"/>
      <c r="V26" s="667"/>
      <c r="W26" s="668"/>
      <c r="X26" s="1265"/>
      <c r="Y26" s="341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2"/>
      <c r="Q28" s="530"/>
      <c r="R28" s="664"/>
      <c r="S28" s="665"/>
      <c r="T28" s="664"/>
      <c r="U28" s="665"/>
      <c r="V28" s="664"/>
      <c r="W28" s="665"/>
      <c r="X28" s="666"/>
      <c r="Y28" s="341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3"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0" t="str">
        <f>A46</f>
        <v>成交单价</v>
      </c>
      <c r="Q46" s="3410"/>
      <c r="R46" s="3405">
        <f>E46</f>
        <v>0</v>
      </c>
      <c r="S46" s="3405"/>
      <c r="T46" s="3405">
        <f>G46</f>
        <v>0</v>
      </c>
      <c r="U46" s="3405"/>
      <c r="V46" s="3405">
        <f>I46</f>
        <v>0</v>
      </c>
      <c r="W46" s="340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0" t="str">
        <f>A47</f>
        <v>比较价值（元/平方米）</v>
      </c>
      <c r="Q47" s="3410"/>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07" t="str">
        <f>A48</f>
        <v>估价对象XX用房的比较价值（楼面单价，元/平方米）</v>
      </c>
      <c r="Q48" s="3408"/>
      <c r="R48" s="3466" t="e">
        <f>ROUND(IF(D47="简单平均",AVERAGE(R47:W47),R47*F47+T47*H47+V47*J47),0)</f>
        <v>#DIV/0!</v>
      </c>
      <c r="S48" s="3466"/>
      <c r="T48" s="3466"/>
      <c r="U48" s="3466"/>
      <c r="V48" s="3466"/>
      <c r="W48" s="346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3" t="s">
        <v>1887</v>
      </c>
      <c r="H55" s="346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32.25</v>
      </c>
      <c r="F56" s="833" t="e">
        <f t="shared" ref="F56:F64" si="15">ROUND(B56*E56/10000,0)</f>
        <v>#DIV/0!</v>
      </c>
      <c r="G56" s="3392"/>
      <c r="H56" s="341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32.25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468" t="s">
        <v>1919</v>
      </c>
      <c r="D6" s="3469"/>
      <c r="E6" s="3470" t="s">
        <v>1919</v>
      </c>
      <c r="F6" s="3471"/>
      <c r="G6" s="3468" t="s">
        <v>1919</v>
      </c>
      <c r="H6" s="3469"/>
      <c r="I6" s="3468" t="s">
        <v>1919</v>
      </c>
      <c r="J6" s="3469"/>
      <c r="K6" s="537"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45737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76"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0"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0"/>
      <c r="Q10" s="530" t="str">
        <f t="shared" si="6"/>
        <v>土地使用年限（年）</v>
      </c>
      <c r="R10" s="664" t="s">
        <v>14</v>
      </c>
      <c r="S10" s="665" t="e">
        <f t="shared" si="0"/>
        <v>#DIV/0!</v>
      </c>
      <c r="T10" s="664" t="s">
        <v>14</v>
      </c>
      <c r="U10" s="665" t="e">
        <f t="shared" si="1"/>
        <v>#DIV/0!</v>
      </c>
      <c r="V10" s="664" t="s">
        <v>14</v>
      </c>
      <c r="W10" s="665" t="e">
        <f t="shared" si="2"/>
        <v>#DIV/0!</v>
      </c>
      <c r="X10" s="666"/>
      <c r="Y10" s="332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0"/>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0"/>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0"/>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2"/>
      <c r="Q16" s="1263"/>
      <c r="R16" s="667"/>
      <c r="S16" s="668"/>
      <c r="T16" s="667"/>
      <c r="U16" s="668"/>
      <c r="V16" s="667"/>
      <c r="W16" s="668"/>
      <c r="X16" s="1265"/>
      <c r="Y16" s="341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2"/>
      <c r="Q18" s="1263"/>
      <c r="R18" s="667"/>
      <c r="S18" s="668"/>
      <c r="T18" s="667"/>
      <c r="U18" s="668"/>
      <c r="V18" s="667"/>
      <c r="W18" s="668"/>
      <c r="X18" s="1265"/>
      <c r="Y18" s="341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2"/>
      <c r="Q20" s="1263"/>
      <c r="R20" s="667"/>
      <c r="S20" s="668"/>
      <c r="T20" s="667"/>
      <c r="U20" s="668"/>
      <c r="V20" s="667"/>
      <c r="W20" s="668"/>
      <c r="X20" s="1265"/>
      <c r="Y20" s="341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2"/>
      <c r="Q22" s="1263"/>
      <c r="R22" s="667"/>
      <c r="S22" s="668"/>
      <c r="T22" s="667"/>
      <c r="U22" s="668"/>
      <c r="V22" s="667"/>
      <c r="W22" s="668"/>
      <c r="X22" s="1265"/>
      <c r="Y22" s="341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2"/>
      <c r="Q24" s="530"/>
      <c r="R24" s="664"/>
      <c r="S24" s="665"/>
      <c r="T24" s="664"/>
      <c r="U24" s="665"/>
      <c r="V24" s="664"/>
      <c r="W24" s="665"/>
      <c r="X24" s="666"/>
      <c r="Y24" s="341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3"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0" t="str">
        <f>A41</f>
        <v>成交单价</v>
      </c>
      <c r="Q41" s="3410"/>
      <c r="R41" s="3405">
        <f>E41</f>
        <v>0</v>
      </c>
      <c r="S41" s="3405"/>
      <c r="T41" s="3405">
        <f>G41</f>
        <v>0</v>
      </c>
      <c r="U41" s="3405"/>
      <c r="V41" s="3405">
        <f>I41</f>
        <v>0</v>
      </c>
      <c r="W41" s="340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0" t="str">
        <f>A42</f>
        <v>比较价值（元/平方米）</v>
      </c>
      <c r="Q42" s="3410"/>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07" t="str">
        <f>A43</f>
        <v>估价对象XX用房的比较价值（楼面单价，元/平方米）</v>
      </c>
      <c r="Q43" s="3408"/>
      <c r="R43" s="3466" t="e">
        <f>ROUND(IF(D42="简单平均",AVERAGE(R42:W42),R42*F42+T42*H42+V42*J42),0)</f>
        <v>#DIV/0!</v>
      </c>
      <c r="S43" s="3466"/>
      <c r="T43" s="3466"/>
      <c r="U43" s="3466"/>
      <c r="V43" s="3466"/>
      <c r="W43" s="346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3" t="s">
        <v>1887</v>
      </c>
      <c r="H50" s="346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32.25</v>
      </c>
      <c r="F51" s="611" t="e">
        <f t="shared" ref="F51:F60" si="15">ROUND(B51*E51/10000,0)</f>
        <v>#DIV/0!</v>
      </c>
      <c r="G51" s="3392"/>
      <c r="H51" s="341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64.5</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64.5</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5" t="s">
        <v>2606</v>
      </c>
      <c r="B20" s="3478" t="s">
        <v>2627</v>
      </c>
      <c r="C20" s="2842" t="s">
        <v>2438</v>
      </c>
      <c r="D20" s="2843"/>
      <c r="E20" s="2844">
        <v>1</v>
      </c>
      <c r="F20" s="2845" t="s">
        <v>2439</v>
      </c>
      <c r="G20" s="2845"/>
    </row>
    <row r="21" spans="1:13" ht="19.5" customHeight="1">
      <c r="A21" s="3486"/>
      <c r="B21" s="3479"/>
      <c r="C21" s="2846" t="s">
        <v>2440</v>
      </c>
      <c r="D21" s="2847"/>
      <c r="E21" s="2848">
        <v>1</v>
      </c>
      <c r="F21" s="2845" t="s">
        <v>2441</v>
      </c>
      <c r="G21" s="2845"/>
    </row>
    <row r="22" spans="1:13" ht="19.5" customHeight="1">
      <c r="A22" s="3486"/>
      <c r="B22" s="3479"/>
      <c r="C22" s="2846" t="s">
        <v>2442</v>
      </c>
      <c r="D22" s="2847"/>
      <c r="E22" s="2848">
        <v>0.9</v>
      </c>
      <c r="F22" s="2845" t="s">
        <v>2443</v>
      </c>
      <c r="G22" s="2845"/>
    </row>
    <row r="23" spans="1:13" ht="19.5" customHeight="1">
      <c r="A23" s="3486"/>
      <c r="B23" s="3479"/>
      <c r="C23" s="2846" t="s">
        <v>2444</v>
      </c>
      <c r="D23" s="2847"/>
      <c r="E23" s="2848">
        <v>0.9</v>
      </c>
      <c r="F23" s="2845" t="s">
        <v>2445</v>
      </c>
      <c r="G23" s="2845"/>
    </row>
    <row r="24" spans="1:13" ht="19.5" customHeight="1">
      <c r="A24" s="3486"/>
      <c r="B24" s="3479"/>
      <c r="C24" s="2846" t="s">
        <v>2446</v>
      </c>
      <c r="D24" s="2847"/>
      <c r="E24" s="2848">
        <v>0.8</v>
      </c>
      <c r="F24" s="2845" t="s">
        <v>2447</v>
      </c>
      <c r="G24" s="2845"/>
    </row>
    <row r="25" spans="1:13" ht="19.5" customHeight="1" thickBot="1">
      <c r="A25" s="3487"/>
      <c r="B25" s="3480"/>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1" t="s">
        <v>2630</v>
      </c>
      <c r="B27" s="3478" t="s">
        <v>2611</v>
      </c>
      <c r="C27" s="2842" t="s">
        <v>2451</v>
      </c>
      <c r="D27" s="2843"/>
      <c r="E27" s="2844">
        <v>1</v>
      </c>
      <c r="F27" s="2845" t="s">
        <v>2452</v>
      </c>
      <c r="G27" s="2845"/>
    </row>
    <row r="28" spans="1:13" ht="19.5" customHeight="1">
      <c r="A28" s="3482"/>
      <c r="B28" s="3479"/>
      <c r="C28" s="2846" t="s">
        <v>2453</v>
      </c>
      <c r="D28" s="2847"/>
      <c r="E28" s="2848">
        <v>1</v>
      </c>
      <c r="F28" s="2845" t="s">
        <v>2454</v>
      </c>
      <c r="G28" s="2845"/>
    </row>
    <row r="29" spans="1:13" ht="19.5" customHeight="1">
      <c r="A29" s="3482"/>
      <c r="B29" s="3479"/>
      <c r="C29" s="2846" t="s">
        <v>2455</v>
      </c>
      <c r="D29" s="2847"/>
      <c r="E29" s="2848">
        <v>0.8</v>
      </c>
      <c r="F29" s="2845" t="s">
        <v>2456</v>
      </c>
      <c r="G29" s="2845"/>
    </row>
    <row r="30" spans="1:13" ht="19.5" customHeight="1">
      <c r="A30" s="3482"/>
      <c r="B30" s="3479"/>
      <c r="C30" s="2846" t="s">
        <v>2457</v>
      </c>
      <c r="D30" s="2847"/>
      <c r="E30" s="2848">
        <v>0.8</v>
      </c>
      <c r="F30" s="2845" t="s">
        <v>2458</v>
      </c>
      <c r="G30" s="2845"/>
    </row>
    <row r="31" spans="1:13" ht="19.5" customHeight="1">
      <c r="A31" s="3482"/>
      <c r="B31" s="3479"/>
      <c r="C31" s="2846" t="s">
        <v>2459</v>
      </c>
      <c r="D31" s="2847"/>
      <c r="E31" s="2848">
        <v>0.8</v>
      </c>
      <c r="F31" s="2845" t="s">
        <v>2460</v>
      </c>
      <c r="G31" s="2845"/>
    </row>
    <row r="32" spans="1:13" ht="19.5" customHeight="1">
      <c r="A32" s="3482"/>
      <c r="B32" s="3479"/>
      <c r="C32" s="2846" t="s">
        <v>2461</v>
      </c>
      <c r="D32" s="2847"/>
      <c r="E32" s="2848">
        <v>0.7</v>
      </c>
      <c r="F32" s="2845" t="s">
        <v>2462</v>
      </c>
      <c r="G32" s="2845"/>
    </row>
    <row r="33" spans="1:7" ht="19.5" customHeight="1">
      <c r="A33" s="3482"/>
      <c r="B33" s="3479"/>
      <c r="C33" s="2846" t="s">
        <v>2463</v>
      </c>
      <c r="D33" s="2847"/>
      <c r="E33" s="2848">
        <v>0.8</v>
      </c>
      <c r="F33" s="2845" t="s">
        <v>2464</v>
      </c>
      <c r="G33" s="2845"/>
    </row>
    <row r="34" spans="1:7" ht="19.5" customHeight="1">
      <c r="A34" s="3482"/>
      <c r="B34" s="3479"/>
      <c r="C34" s="2846" t="s">
        <v>2465</v>
      </c>
      <c r="D34" s="2847"/>
      <c r="E34" s="2848">
        <v>0.6</v>
      </c>
      <c r="F34" s="2845" t="s">
        <v>2466</v>
      </c>
      <c r="G34" s="2845"/>
    </row>
    <row r="35" spans="1:7" ht="19.5" customHeight="1">
      <c r="A35" s="3482"/>
      <c r="B35" s="3479"/>
      <c r="C35" s="2846" t="s">
        <v>2467</v>
      </c>
      <c r="D35" s="2847"/>
      <c r="E35" s="2848">
        <v>0.2</v>
      </c>
      <c r="F35" s="2845" t="s">
        <v>2468</v>
      </c>
      <c r="G35" s="2845"/>
    </row>
    <row r="36" spans="1:7" ht="19.5" customHeight="1">
      <c r="A36" s="3482"/>
      <c r="B36" s="3479"/>
      <c r="C36" s="2846" t="s">
        <v>2469</v>
      </c>
      <c r="D36" s="2847"/>
      <c r="E36" s="2848">
        <v>0.2</v>
      </c>
      <c r="F36" s="2845" t="s">
        <v>2470</v>
      </c>
      <c r="G36" s="2845"/>
    </row>
    <row r="37" spans="1:7" ht="19.5" customHeight="1">
      <c r="A37" s="3482"/>
      <c r="B37" s="3484" t="s">
        <v>2631</v>
      </c>
      <c r="C37" s="2846" t="s">
        <v>2471</v>
      </c>
      <c r="D37" s="2847"/>
      <c r="E37" s="2848">
        <v>0.6</v>
      </c>
      <c r="F37" s="2845" t="s">
        <v>2472</v>
      </c>
      <c r="G37" s="2845"/>
    </row>
    <row r="38" spans="1:7" ht="19.5" customHeight="1">
      <c r="A38" s="3482"/>
      <c r="B38" s="3479"/>
      <c r="C38" s="2846" t="s">
        <v>2473</v>
      </c>
      <c r="D38" s="2847"/>
      <c r="E38" s="2848">
        <v>0.6</v>
      </c>
      <c r="F38" s="2845" t="s">
        <v>2474</v>
      </c>
      <c r="G38" s="2845"/>
    </row>
    <row r="39" spans="1:7" ht="19.5" customHeight="1" thickBot="1">
      <c r="A39" s="3483"/>
      <c r="B39" s="3480"/>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5" t="s">
        <v>2609</v>
      </c>
      <c r="B41" s="3478" t="s">
        <v>2633</v>
      </c>
      <c r="C41" s="2842" t="s">
        <v>2478</v>
      </c>
      <c r="D41" s="2843"/>
      <c r="E41" s="2844">
        <v>1</v>
      </c>
      <c r="F41" s="2845" t="s">
        <v>2479</v>
      </c>
      <c r="G41" s="2845"/>
    </row>
    <row r="42" spans="1:7" ht="19.5" customHeight="1">
      <c r="A42" s="3486"/>
      <c r="B42" s="3479"/>
      <c r="C42" s="2846" t="s">
        <v>2480</v>
      </c>
      <c r="D42" s="2847"/>
      <c r="E42" s="2848">
        <v>1</v>
      </c>
      <c r="F42" s="2845" t="s">
        <v>2481</v>
      </c>
      <c r="G42" s="2845"/>
    </row>
    <row r="43" spans="1:7" ht="19.5" customHeight="1">
      <c r="A43" s="3486"/>
      <c r="B43" s="3488"/>
      <c r="C43" s="2846" t="s">
        <v>2482</v>
      </c>
      <c r="D43" s="2847"/>
      <c r="E43" s="2848">
        <v>1.5</v>
      </c>
      <c r="F43" s="2845" t="s">
        <v>2483</v>
      </c>
      <c r="G43" s="2845"/>
    </row>
    <row r="44" spans="1:7" ht="19.5" customHeight="1">
      <c r="A44" s="3486"/>
      <c r="B44" s="2857" t="s">
        <v>2634</v>
      </c>
      <c r="C44" s="2846" t="s">
        <v>2635</v>
      </c>
      <c r="D44" s="2847"/>
      <c r="E44" s="2848">
        <v>2</v>
      </c>
      <c r="F44" s="2845" t="s">
        <v>2484</v>
      </c>
      <c r="G44" s="2845"/>
    </row>
    <row r="45" spans="1:7" ht="19.5" customHeight="1">
      <c r="A45" s="3486"/>
      <c r="B45" s="3484" t="s">
        <v>2636</v>
      </c>
      <c r="C45" s="2846" t="s">
        <v>2485</v>
      </c>
      <c r="D45" s="2847"/>
      <c r="E45" s="2848">
        <v>1</v>
      </c>
      <c r="F45" s="2845" t="s">
        <v>2486</v>
      </c>
      <c r="G45" s="2845"/>
    </row>
    <row r="46" spans="1:7" ht="19.5" customHeight="1">
      <c r="A46" s="3486"/>
      <c r="B46" s="3479"/>
      <c r="C46" s="2846" t="s">
        <v>2487</v>
      </c>
      <c r="D46" s="2847"/>
      <c r="E46" s="2848">
        <v>1</v>
      </c>
      <c r="F46" s="2845" t="s">
        <v>2488</v>
      </c>
      <c r="G46" s="2845"/>
    </row>
    <row r="47" spans="1:7" ht="19.5" customHeight="1">
      <c r="A47" s="3486"/>
      <c r="B47" s="3479"/>
      <c r="C47" s="2846" t="s">
        <v>2489</v>
      </c>
      <c r="D47" s="2847"/>
      <c r="E47" s="2848">
        <v>1</v>
      </c>
      <c r="F47" s="2845" t="s">
        <v>2490</v>
      </c>
      <c r="G47" s="2845"/>
    </row>
    <row r="48" spans="1:7" ht="19.5" customHeight="1">
      <c r="A48" s="3486"/>
      <c r="B48" s="3479"/>
      <c r="C48" s="2846" t="s">
        <v>2491</v>
      </c>
      <c r="D48" s="2847"/>
      <c r="E48" s="2848">
        <v>1</v>
      </c>
      <c r="F48" s="2845" t="s">
        <v>2492</v>
      </c>
      <c r="G48" s="2845"/>
    </row>
    <row r="49" spans="1:7" ht="19.5" customHeight="1">
      <c r="A49" s="3486"/>
      <c r="B49" s="3479"/>
      <c r="C49" s="2846" t="s">
        <v>2493</v>
      </c>
      <c r="D49" s="2847"/>
      <c r="E49" s="2848">
        <v>1</v>
      </c>
      <c r="F49" s="2845" t="s">
        <v>2494</v>
      </c>
      <c r="G49" s="2845"/>
    </row>
    <row r="50" spans="1:7" ht="19.5" customHeight="1">
      <c r="A50" s="3486"/>
      <c r="B50" s="3479"/>
      <c r="C50" s="2846" t="s">
        <v>2495</v>
      </c>
      <c r="D50" s="2847"/>
      <c r="E50" s="2848">
        <v>1</v>
      </c>
      <c r="F50" s="2845" t="s">
        <v>2496</v>
      </c>
      <c r="G50" s="2845"/>
    </row>
    <row r="51" spans="1:7" ht="19.5" customHeight="1" thickBot="1">
      <c r="A51" s="3487"/>
      <c r="B51" s="3480"/>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84" t="s">
        <v>2650</v>
      </c>
      <c r="C73" s="2831" t="s">
        <v>2651</v>
      </c>
      <c r="D73" s="2831" t="s">
        <v>2652</v>
      </c>
      <c r="E73" s="2857">
        <v>0.2</v>
      </c>
      <c r="F73" s="2857">
        <v>25</v>
      </c>
    </row>
    <row r="74" spans="1:7" ht="24">
      <c r="A74" s="2857">
        <v>2</v>
      </c>
      <c r="B74" s="3479"/>
      <c r="C74" s="2831" t="s">
        <v>2653</v>
      </c>
      <c r="D74" s="2831" t="s">
        <v>2654</v>
      </c>
      <c r="E74" s="2857">
        <v>0.2</v>
      </c>
      <c r="F74" s="2857">
        <v>25</v>
      </c>
    </row>
    <row r="75" spans="1:7" ht="24">
      <c r="A75" s="2857">
        <v>3</v>
      </c>
      <c r="B75" s="3479"/>
      <c r="C75" s="2831" t="s">
        <v>2655</v>
      </c>
      <c r="D75" s="2831" t="s">
        <v>2656</v>
      </c>
      <c r="E75" s="2857">
        <v>0.2</v>
      </c>
      <c r="F75" s="2857">
        <v>25</v>
      </c>
    </row>
    <row r="76" spans="1:7" ht="14.4">
      <c r="A76" s="2857">
        <v>4</v>
      </c>
      <c r="B76" s="3479"/>
      <c r="C76" s="2831" t="s">
        <v>2657</v>
      </c>
      <c r="D76" s="2831" t="s">
        <v>2658</v>
      </c>
      <c r="E76" s="2857">
        <v>0.15</v>
      </c>
      <c r="F76" s="2857">
        <v>20</v>
      </c>
    </row>
    <row r="77" spans="1:7" ht="24">
      <c r="A77" s="2857">
        <v>5</v>
      </c>
      <c r="B77" s="3479"/>
      <c r="C77" s="2831" t="s">
        <v>2659</v>
      </c>
      <c r="D77" s="2831" t="s">
        <v>2660</v>
      </c>
      <c r="E77" s="2857">
        <v>0.15</v>
      </c>
      <c r="F77" s="2857">
        <v>20</v>
      </c>
    </row>
    <row r="78" spans="1:7" ht="24">
      <c r="A78" s="2857">
        <v>6</v>
      </c>
      <c r="B78" s="3479"/>
      <c r="C78" s="2831" t="s">
        <v>2661</v>
      </c>
      <c r="D78" s="2831" t="s">
        <v>2662</v>
      </c>
      <c r="E78" s="2857">
        <v>0.15</v>
      </c>
      <c r="F78" s="2857">
        <v>20</v>
      </c>
    </row>
    <row r="79" spans="1:7" ht="24">
      <c r="A79" s="2857">
        <v>7</v>
      </c>
      <c r="B79" s="3479"/>
      <c r="C79" s="2831" t="s">
        <v>2663</v>
      </c>
      <c r="D79" s="2831" t="s">
        <v>2664</v>
      </c>
      <c r="E79" s="2857">
        <v>0.15</v>
      </c>
      <c r="F79" s="2857">
        <v>20</v>
      </c>
    </row>
    <row r="80" spans="1:7" ht="24">
      <c r="A80" s="2857">
        <v>8</v>
      </c>
      <c r="B80" s="3479"/>
      <c r="C80" s="2831" t="s">
        <v>2665</v>
      </c>
      <c r="D80" s="2831" t="s">
        <v>2666</v>
      </c>
      <c r="E80" s="2857">
        <v>0.1</v>
      </c>
      <c r="F80" s="2857">
        <v>15</v>
      </c>
    </row>
    <row r="81" spans="1:6" ht="24">
      <c r="A81" s="2857">
        <v>9</v>
      </c>
      <c r="B81" s="3479"/>
      <c r="C81" s="2831" t="s">
        <v>2667</v>
      </c>
      <c r="D81" s="2831" t="s">
        <v>2668</v>
      </c>
      <c r="E81" s="2857">
        <v>0.1</v>
      </c>
      <c r="F81" s="2857">
        <v>15</v>
      </c>
    </row>
    <row r="82" spans="1:6" ht="24">
      <c r="A82" s="2857">
        <v>10</v>
      </c>
      <c r="B82" s="3479"/>
      <c r="C82" s="2831" t="s">
        <v>2669</v>
      </c>
      <c r="D82" s="2831" t="s">
        <v>2670</v>
      </c>
      <c r="E82" s="2857">
        <v>0.1</v>
      </c>
      <c r="F82" s="2857">
        <v>15</v>
      </c>
    </row>
    <row r="83" spans="1:6" ht="24">
      <c r="A83" s="2857">
        <v>11</v>
      </c>
      <c r="B83" s="3479"/>
      <c r="C83" s="2831" t="s">
        <v>2671</v>
      </c>
      <c r="D83" s="2831" t="s">
        <v>2672</v>
      </c>
      <c r="E83" s="2857">
        <v>0.1</v>
      </c>
      <c r="F83" s="2857">
        <v>15</v>
      </c>
    </row>
    <row r="84" spans="1:6" ht="24">
      <c r="A84" s="2857">
        <v>12</v>
      </c>
      <c r="B84" s="3479"/>
      <c r="C84" s="2831" t="s">
        <v>2673</v>
      </c>
      <c r="D84" s="2831" t="s">
        <v>2674</v>
      </c>
      <c r="E84" s="2857">
        <v>0.1</v>
      </c>
      <c r="F84" s="2857">
        <v>15</v>
      </c>
    </row>
    <row r="85" spans="1:6" ht="24">
      <c r="A85" s="2857">
        <v>13</v>
      </c>
      <c r="B85" s="3479"/>
      <c r="C85" s="2831" t="s">
        <v>2675</v>
      </c>
      <c r="D85" s="2831" t="s">
        <v>2676</v>
      </c>
      <c r="E85" s="2857">
        <v>0.1</v>
      </c>
      <c r="F85" s="2857">
        <v>15</v>
      </c>
    </row>
    <row r="86" spans="1:6" ht="24">
      <c r="A86" s="2857">
        <v>14</v>
      </c>
      <c r="B86" s="3479"/>
      <c r="C86" s="2831" t="s">
        <v>2677</v>
      </c>
      <c r="D86" s="2831" t="s">
        <v>2678</v>
      </c>
      <c r="E86" s="2857">
        <v>0.1</v>
      </c>
      <c r="F86" s="2857">
        <v>15</v>
      </c>
    </row>
    <row r="87" spans="1:6" ht="24">
      <c r="A87" s="2857">
        <v>15</v>
      </c>
      <c r="B87" s="3479"/>
      <c r="C87" s="2831" t="s">
        <v>2679</v>
      </c>
      <c r="D87" s="2831" t="s">
        <v>2680</v>
      </c>
      <c r="E87" s="2857">
        <v>0.1</v>
      </c>
      <c r="F87" s="2857">
        <v>15</v>
      </c>
    </row>
    <row r="88" spans="1:6" ht="24">
      <c r="A88" s="2857">
        <v>16</v>
      </c>
      <c r="B88" s="3479"/>
      <c r="C88" s="2831" t="s">
        <v>2681</v>
      </c>
      <c r="D88" s="2831" t="s">
        <v>2682</v>
      </c>
      <c r="E88" s="2857">
        <v>0.1</v>
      </c>
      <c r="F88" s="2857">
        <v>15</v>
      </c>
    </row>
    <row r="89" spans="1:6" ht="24">
      <c r="A89" s="2857">
        <v>17</v>
      </c>
      <c r="B89" s="3488"/>
      <c r="C89" s="2831" t="s">
        <v>2683</v>
      </c>
      <c r="D89" s="2831" t="s">
        <v>2684</v>
      </c>
      <c r="E89" s="2857">
        <v>0.1</v>
      </c>
      <c r="F89" s="2857">
        <v>15</v>
      </c>
    </row>
    <row r="90" spans="1:6" ht="14.4">
      <c r="A90" s="2857">
        <v>18</v>
      </c>
      <c r="B90" s="3484" t="s">
        <v>2685</v>
      </c>
      <c r="C90" s="2831" t="s">
        <v>2686</v>
      </c>
      <c r="D90" s="2831" t="s">
        <v>2687</v>
      </c>
      <c r="E90" s="2857">
        <v>0.2</v>
      </c>
      <c r="F90" s="2857">
        <v>25</v>
      </c>
    </row>
    <row r="91" spans="1:6" ht="24">
      <c r="A91" s="2857">
        <v>19</v>
      </c>
      <c r="B91" s="3479"/>
      <c r="C91" s="2831" t="s">
        <v>2688</v>
      </c>
      <c r="D91" s="2831" t="s">
        <v>2689</v>
      </c>
      <c r="E91" s="2857">
        <v>0.2</v>
      </c>
      <c r="F91" s="2857">
        <v>25</v>
      </c>
    </row>
    <row r="92" spans="1:6" ht="14.4">
      <c r="A92" s="2857">
        <v>20</v>
      </c>
      <c r="B92" s="3479"/>
      <c r="C92" s="2831" t="s">
        <v>2690</v>
      </c>
      <c r="D92" s="2831" t="s">
        <v>2691</v>
      </c>
      <c r="E92" s="2857">
        <v>0.15</v>
      </c>
      <c r="F92" s="2857">
        <v>20</v>
      </c>
    </row>
    <row r="93" spans="1:6" ht="24">
      <c r="A93" s="2857">
        <v>21</v>
      </c>
      <c r="B93" s="3479"/>
      <c r="C93" s="2831" t="s">
        <v>2692</v>
      </c>
      <c r="D93" s="2831" t="s">
        <v>2693</v>
      </c>
      <c r="E93" s="2857">
        <v>0.15</v>
      </c>
      <c r="F93" s="2857">
        <v>20</v>
      </c>
    </row>
    <row r="94" spans="1:6" ht="24">
      <c r="A94" s="2857">
        <v>22</v>
      </c>
      <c r="B94" s="3479"/>
      <c r="C94" s="2831" t="s">
        <v>2694</v>
      </c>
      <c r="D94" s="2831" t="s">
        <v>2695</v>
      </c>
      <c r="E94" s="2857">
        <v>0.15</v>
      </c>
      <c r="F94" s="2857">
        <v>20</v>
      </c>
    </row>
    <row r="95" spans="1:6" ht="36">
      <c r="A95" s="2857">
        <v>23</v>
      </c>
      <c r="B95" s="3479"/>
      <c r="C95" s="2831" t="s">
        <v>2696</v>
      </c>
      <c r="D95" s="2831" t="s">
        <v>2697</v>
      </c>
      <c r="E95" s="2857">
        <v>0.15</v>
      </c>
      <c r="F95" s="2857">
        <v>20</v>
      </c>
    </row>
    <row r="96" spans="1:6" ht="24">
      <c r="A96" s="2857">
        <v>24</v>
      </c>
      <c r="B96" s="3479"/>
      <c r="C96" s="2831" t="s">
        <v>2698</v>
      </c>
      <c r="D96" s="2831" t="s">
        <v>2699</v>
      </c>
      <c r="E96" s="2857">
        <v>0.1</v>
      </c>
      <c r="F96" s="2857">
        <v>15</v>
      </c>
    </row>
    <row r="97" spans="1:6" ht="24">
      <c r="A97" s="2857">
        <v>25</v>
      </c>
      <c r="B97" s="3479"/>
      <c r="C97" s="2831" t="s">
        <v>2700</v>
      </c>
      <c r="D97" s="2831" t="s">
        <v>2701</v>
      </c>
      <c r="E97" s="2857">
        <v>0.1</v>
      </c>
      <c r="F97" s="2857">
        <v>15</v>
      </c>
    </row>
    <row r="98" spans="1:6" ht="24">
      <c r="A98" s="2857">
        <v>26</v>
      </c>
      <c r="B98" s="3479"/>
      <c r="C98" s="2831" t="s">
        <v>2702</v>
      </c>
      <c r="D98" s="2831" t="s">
        <v>2703</v>
      </c>
      <c r="E98" s="2857">
        <v>0.1</v>
      </c>
      <c r="F98" s="2857">
        <v>15</v>
      </c>
    </row>
    <row r="99" spans="1:6" ht="24">
      <c r="A99" s="2857">
        <v>27</v>
      </c>
      <c r="B99" s="3479"/>
      <c r="C99" s="2831" t="s">
        <v>2704</v>
      </c>
      <c r="D99" s="2831" t="s">
        <v>2705</v>
      </c>
      <c r="E99" s="2857">
        <v>0.1</v>
      </c>
      <c r="F99" s="2857">
        <v>15</v>
      </c>
    </row>
    <row r="100" spans="1:6" ht="24">
      <c r="A100" s="2857">
        <v>28</v>
      </c>
      <c r="B100" s="3479"/>
      <c r="C100" s="2831" t="s">
        <v>2706</v>
      </c>
      <c r="D100" s="2831" t="s">
        <v>2707</v>
      </c>
      <c r="E100" s="2857">
        <v>0.1</v>
      </c>
      <c r="F100" s="2857">
        <v>15</v>
      </c>
    </row>
    <row r="101" spans="1:6" ht="24">
      <c r="A101" s="2857">
        <v>29</v>
      </c>
      <c r="B101" s="3479"/>
      <c r="C101" s="2831" t="s">
        <v>2708</v>
      </c>
      <c r="D101" s="2831" t="s">
        <v>2709</v>
      </c>
      <c r="E101" s="2857">
        <v>0.1</v>
      </c>
      <c r="F101" s="2857">
        <v>15</v>
      </c>
    </row>
    <row r="102" spans="1:6" ht="24">
      <c r="A102" s="2857">
        <v>30</v>
      </c>
      <c r="B102" s="3479"/>
      <c r="C102" s="2831" t="s">
        <v>2710</v>
      </c>
      <c r="D102" s="2831" t="s">
        <v>2711</v>
      </c>
      <c r="E102" s="2857">
        <v>0.1</v>
      </c>
      <c r="F102" s="2857">
        <v>15</v>
      </c>
    </row>
    <row r="103" spans="1:6" ht="24">
      <c r="A103" s="2857">
        <v>31</v>
      </c>
      <c r="B103" s="3479"/>
      <c r="C103" s="2831" t="s">
        <v>2712</v>
      </c>
      <c r="D103" s="2831" t="s">
        <v>2713</v>
      </c>
      <c r="E103" s="2857">
        <v>0.1</v>
      </c>
      <c r="F103" s="2857">
        <v>15</v>
      </c>
    </row>
    <row r="104" spans="1:6" ht="24">
      <c r="A104" s="2857">
        <v>32</v>
      </c>
      <c r="B104" s="3479"/>
      <c r="C104" s="2831" t="s">
        <v>2714</v>
      </c>
      <c r="D104" s="2831" t="s">
        <v>2715</v>
      </c>
      <c r="E104" s="2857">
        <v>0.1</v>
      </c>
      <c r="F104" s="2857">
        <v>15</v>
      </c>
    </row>
    <row r="105" spans="1:6" ht="24">
      <c r="A105" s="2857">
        <v>33</v>
      </c>
      <c r="B105" s="3479"/>
      <c r="C105" s="2831" t="s">
        <v>2716</v>
      </c>
      <c r="D105" s="2831" t="s">
        <v>2717</v>
      </c>
      <c r="E105" s="2857">
        <v>0.1</v>
      </c>
      <c r="F105" s="2857">
        <v>15</v>
      </c>
    </row>
    <row r="106" spans="1:6" ht="24">
      <c r="A106" s="2857">
        <v>34</v>
      </c>
      <c r="B106" s="3488"/>
      <c r="C106" s="2831" t="s">
        <v>2718</v>
      </c>
      <c r="D106" s="2831" t="s">
        <v>2719</v>
      </c>
      <c r="E106" s="2857">
        <v>0.1</v>
      </c>
      <c r="F106" s="2857">
        <v>15</v>
      </c>
    </row>
    <row r="107" spans="1:6" ht="36">
      <c r="A107" s="2857">
        <v>35</v>
      </c>
      <c r="B107" s="3484" t="s">
        <v>2720</v>
      </c>
      <c r="C107" s="2857" t="s">
        <v>2721</v>
      </c>
      <c r="D107" s="2831" t="s">
        <v>2722</v>
      </c>
      <c r="E107" s="2857">
        <v>0.15</v>
      </c>
      <c r="F107" s="2857">
        <v>20</v>
      </c>
    </row>
    <row r="108" spans="1:6" ht="24">
      <c r="A108" s="2857">
        <v>36</v>
      </c>
      <c r="B108" s="3479"/>
      <c r="C108" s="2857" t="s">
        <v>2723</v>
      </c>
      <c r="D108" s="2831" t="s">
        <v>2724</v>
      </c>
      <c r="E108" s="2857">
        <v>0.15</v>
      </c>
      <c r="F108" s="2857">
        <v>20</v>
      </c>
    </row>
    <row r="109" spans="1:6" ht="24">
      <c r="A109" s="2857">
        <v>37</v>
      </c>
      <c r="B109" s="3479"/>
      <c r="C109" s="2857" t="s">
        <v>2725</v>
      </c>
      <c r="D109" s="2831" t="s">
        <v>2726</v>
      </c>
      <c r="E109" s="2857">
        <v>0.15</v>
      </c>
      <c r="F109" s="2857">
        <v>20</v>
      </c>
    </row>
    <row r="110" spans="1:6" ht="24">
      <c r="A110" s="2857">
        <v>38</v>
      </c>
      <c r="B110" s="3479"/>
      <c r="C110" s="2857" t="s">
        <v>2727</v>
      </c>
      <c r="D110" s="2831" t="s">
        <v>2728</v>
      </c>
      <c r="E110" s="2857">
        <v>0.1</v>
      </c>
      <c r="F110" s="2857">
        <v>15</v>
      </c>
    </row>
    <row r="111" spans="1:6" ht="24">
      <c r="A111" s="2857">
        <v>39</v>
      </c>
      <c r="B111" s="3479"/>
      <c r="C111" s="2857" t="s">
        <v>2729</v>
      </c>
      <c r="D111" s="2831" t="s">
        <v>2730</v>
      </c>
      <c r="E111" s="2857">
        <v>0.1</v>
      </c>
      <c r="F111" s="2857">
        <v>15</v>
      </c>
    </row>
    <row r="112" spans="1:6" ht="24">
      <c r="A112" s="2857">
        <v>40</v>
      </c>
      <c r="B112" s="3488"/>
      <c r="C112" s="2857" t="s">
        <v>2731</v>
      </c>
      <c r="D112" s="2831" t="s">
        <v>2732</v>
      </c>
      <c r="E112" s="2857">
        <v>0.1</v>
      </c>
      <c r="F112" s="2857">
        <v>15</v>
      </c>
    </row>
    <row r="113" spans="1:6" ht="24">
      <c r="A113" s="2857">
        <v>41</v>
      </c>
      <c r="B113" s="3489" t="s">
        <v>2733</v>
      </c>
      <c r="C113" s="2857" t="s">
        <v>2734</v>
      </c>
      <c r="D113" s="2831" t="s">
        <v>2735</v>
      </c>
      <c r="E113" s="2857">
        <v>0.1</v>
      </c>
      <c r="F113" s="2857">
        <v>15</v>
      </c>
    </row>
    <row r="114" spans="1:6" ht="24">
      <c r="A114" s="2857">
        <v>42</v>
      </c>
      <c r="B114" s="3489"/>
      <c r="C114" s="2857" t="s">
        <v>2736</v>
      </c>
      <c r="D114" s="2831" t="s">
        <v>2737</v>
      </c>
      <c r="E114" s="2857">
        <v>0.1</v>
      </c>
      <c r="F114" s="2857">
        <v>15</v>
      </c>
    </row>
    <row r="115" spans="1:6" ht="24">
      <c r="A115" s="2857">
        <v>43</v>
      </c>
      <c r="B115" s="3489"/>
      <c r="C115" s="2857" t="s">
        <v>2738</v>
      </c>
      <c r="D115" s="2831" t="s">
        <v>2739</v>
      </c>
      <c r="E115" s="2857">
        <v>0.1</v>
      </c>
      <c r="F115" s="2857">
        <v>15</v>
      </c>
    </row>
    <row r="116" spans="1:6" ht="24">
      <c r="A116" s="2857">
        <v>44</v>
      </c>
      <c r="B116" s="3484" t="s">
        <v>2740</v>
      </c>
      <c r="C116" s="2857" t="s">
        <v>2741</v>
      </c>
      <c r="D116" s="2831" t="s">
        <v>2742</v>
      </c>
      <c r="E116" s="2857">
        <v>0.1</v>
      </c>
      <c r="F116" s="2857">
        <v>15</v>
      </c>
    </row>
    <row r="117" spans="1:6" ht="24">
      <c r="A117" s="2857">
        <v>45</v>
      </c>
      <c r="B117" s="3488"/>
      <c r="C117" s="2831" t="s">
        <v>2743</v>
      </c>
      <c r="D117" s="2831" t="s">
        <v>2744</v>
      </c>
      <c r="E117" s="2857">
        <v>0.1</v>
      </c>
      <c r="F117" s="2857">
        <v>15</v>
      </c>
    </row>
    <row r="118" spans="1:6" ht="24">
      <c r="A118" s="2857">
        <v>46</v>
      </c>
      <c r="B118" s="3484" t="s">
        <v>2745</v>
      </c>
      <c r="C118" s="2857" t="s">
        <v>2746</v>
      </c>
      <c r="D118" s="2831" t="s">
        <v>2747</v>
      </c>
      <c r="E118" s="2857">
        <v>0.1</v>
      </c>
      <c r="F118" s="2857">
        <v>15</v>
      </c>
    </row>
    <row r="119" spans="1:6" ht="24">
      <c r="A119" s="2857">
        <v>47</v>
      </c>
      <c r="B119" s="3488"/>
      <c r="C119" s="2857" t="s">
        <v>2748</v>
      </c>
      <c r="D119" s="2831" t="s">
        <v>2749</v>
      </c>
      <c r="E119" s="2857">
        <v>0.1</v>
      </c>
      <c r="F119" s="2857">
        <v>15</v>
      </c>
    </row>
    <row r="120" spans="1:6" ht="24">
      <c r="A120" s="2857">
        <v>48</v>
      </c>
      <c r="B120" s="3484" t="s">
        <v>2750</v>
      </c>
      <c r="C120" s="2857" t="s">
        <v>2751</v>
      </c>
      <c r="D120" s="2831" t="s">
        <v>2752</v>
      </c>
      <c r="E120" s="2857">
        <v>0.1</v>
      </c>
      <c r="F120" s="2857">
        <v>15</v>
      </c>
    </row>
    <row r="121" spans="1:6" ht="24">
      <c r="A121" s="2857">
        <v>49</v>
      </c>
      <c r="B121" s="3488"/>
      <c r="C121" s="2857" t="s">
        <v>2753</v>
      </c>
      <c r="D121" s="2831" t="s">
        <v>2754</v>
      </c>
      <c r="E121" s="2857">
        <v>0.1</v>
      </c>
      <c r="F121" s="2857">
        <v>15</v>
      </c>
    </row>
    <row r="122" spans="1:6" ht="24">
      <c r="A122" s="2857">
        <v>50</v>
      </c>
      <c r="B122" s="3489" t="s">
        <v>2755</v>
      </c>
      <c r="C122" s="2857" t="s">
        <v>2756</v>
      </c>
      <c r="D122" s="2831" t="s">
        <v>2757</v>
      </c>
      <c r="E122" s="2857">
        <v>0.1</v>
      </c>
      <c r="F122" s="2857">
        <v>15</v>
      </c>
    </row>
    <row r="123" spans="1:6" ht="24">
      <c r="A123" s="2857">
        <v>51</v>
      </c>
      <c r="B123" s="3489"/>
      <c r="C123" s="2857" t="s">
        <v>2758</v>
      </c>
      <c r="D123" s="2831" t="s">
        <v>2759</v>
      </c>
      <c r="E123" s="2857">
        <v>0.1</v>
      </c>
      <c r="F123" s="2857">
        <v>15</v>
      </c>
    </row>
    <row r="124" spans="1:6" ht="24">
      <c r="A124" s="2857">
        <v>52</v>
      </c>
      <c r="B124" s="3489" t="s">
        <v>2760</v>
      </c>
      <c r="C124" s="2857" t="s">
        <v>2761</v>
      </c>
      <c r="D124" s="2831" t="s">
        <v>2762</v>
      </c>
      <c r="E124" s="2857">
        <v>0.1</v>
      </c>
      <c r="F124" s="2857">
        <v>15</v>
      </c>
    </row>
    <row r="125" spans="1:6" ht="24">
      <c r="A125" s="2857">
        <v>53</v>
      </c>
      <c r="B125" s="3489"/>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89" t="s">
        <v>2768</v>
      </c>
      <c r="C127" s="2857" t="s">
        <v>2769</v>
      </c>
      <c r="D127" s="2831" t="s">
        <v>2770</v>
      </c>
      <c r="E127" s="2857">
        <v>0.1</v>
      </c>
      <c r="F127" s="2857">
        <v>15</v>
      </c>
    </row>
    <row r="128" spans="1:6" ht="24">
      <c r="A128" s="2857">
        <v>56</v>
      </c>
      <c r="B128" s="3489"/>
      <c r="C128" s="2857" t="s">
        <v>2771</v>
      </c>
      <c r="D128" s="2831" t="s">
        <v>2772</v>
      </c>
      <c r="E128" s="2857">
        <v>0.1</v>
      </c>
      <c r="F128" s="2857">
        <v>15</v>
      </c>
    </row>
    <row r="129" spans="1:6" ht="24">
      <c r="A129" s="2857">
        <v>57</v>
      </c>
      <c r="B129" s="3489"/>
      <c r="C129" s="2857" t="s">
        <v>2773</v>
      </c>
      <c r="D129" s="2831" t="s">
        <v>2774</v>
      </c>
      <c r="E129" s="2857">
        <v>0.1</v>
      </c>
      <c r="F129" s="2857">
        <v>15</v>
      </c>
    </row>
    <row r="130" spans="1:6" ht="24">
      <c r="A130" s="2857">
        <v>58</v>
      </c>
      <c r="B130" s="3489" t="s">
        <v>2775</v>
      </c>
      <c r="C130" s="2857" t="s">
        <v>2776</v>
      </c>
      <c r="D130" s="2831" t="s">
        <v>2777</v>
      </c>
      <c r="E130" s="2857">
        <v>0.1</v>
      </c>
      <c r="F130" s="2857">
        <v>15</v>
      </c>
    </row>
    <row r="131" spans="1:6" ht="24">
      <c r="A131" s="2857">
        <v>59</v>
      </c>
      <c r="B131" s="3489"/>
      <c r="C131" s="2857" t="s">
        <v>2778</v>
      </c>
      <c r="D131" s="2831" t="s">
        <v>2779</v>
      </c>
      <c r="E131" s="2857">
        <v>0.1</v>
      </c>
      <c r="F131" s="2857">
        <v>15</v>
      </c>
    </row>
    <row r="132" spans="1:6" ht="24">
      <c r="A132" s="2857">
        <v>60</v>
      </c>
      <c r="B132" s="3484" t="s">
        <v>2780</v>
      </c>
      <c r="C132" s="2857" t="s">
        <v>2781</v>
      </c>
      <c r="D132" s="2831" t="s">
        <v>2782</v>
      </c>
      <c r="E132" s="2857">
        <v>0.1</v>
      </c>
      <c r="F132" s="2857">
        <v>15</v>
      </c>
    </row>
    <row r="133" spans="1:6" ht="24">
      <c r="A133" s="2857">
        <v>61</v>
      </c>
      <c r="B133" s="3488"/>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89" t="s">
        <v>2788</v>
      </c>
      <c r="C135" s="2857" t="s">
        <v>2789</v>
      </c>
      <c r="D135" s="2831" t="s">
        <v>2790</v>
      </c>
      <c r="E135" s="2857">
        <v>0.1</v>
      </c>
      <c r="F135" s="2857">
        <v>15</v>
      </c>
    </row>
    <row r="136" spans="1:6" ht="24">
      <c r="A136" s="2857">
        <v>64</v>
      </c>
      <c r="B136" s="3489"/>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估价结果一览表（市场价值不需“结果表-1”）</v>
      </c>
      <c r="B3" s="3175"/>
      <c r="C3" s="3175"/>
      <c r="D3" s="3175"/>
      <c r="E3" s="3175"/>
    </row>
    <row r="4" spans="1:5" ht="18" thickBot="1">
      <c r="A4" s="1391"/>
      <c r="B4" s="3173" t="s">
        <v>917</v>
      </c>
      <c r="C4" s="3173"/>
      <c r="D4" s="3173"/>
      <c r="E4" s="1391"/>
    </row>
    <row r="5" spans="1:5" ht="16.2" thickTop="1">
      <c r="B5" s="3171" t="s">
        <v>909</v>
      </c>
      <c r="C5" s="1392" t="s">
        <v>910</v>
      </c>
      <c r="D5" s="797" t="e">
        <f ca="1">结果表!H101</f>
        <v>#REF!</v>
      </c>
    </row>
    <row r="6" spans="1:5" ht="15.6">
      <c r="B6" s="3171"/>
      <c r="C6" s="1392" t="s">
        <v>911</v>
      </c>
      <c r="D6" s="797" t="e">
        <f ca="1">NUMBERSTRING(INT(D5*10000),2)&amp;"元整"</f>
        <v>#REF!</v>
      </c>
    </row>
    <row r="7" spans="1:5" ht="15.6">
      <c r="B7" s="3176"/>
      <c r="C7" s="1393" t="s">
        <v>912</v>
      </c>
      <c r="D7" s="798" t="e">
        <f ca="1">结果表!H102</f>
        <v>#REF!</v>
      </c>
    </row>
    <row r="8" spans="1:5" ht="15.6">
      <c r="B8" s="3177" t="str">
        <f>结果表!E103</f>
        <v>2.估价师知悉的法定优先受偿款</v>
      </c>
      <c r="C8" s="1394" t="s">
        <v>913</v>
      </c>
      <c r="D8" s="798">
        <f>结果表!H103</f>
        <v>0</v>
      </c>
    </row>
    <row r="9" spans="1:5" ht="15.6">
      <c r="B9" s="317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0" t="str">
        <f>结果表!E107</f>
        <v>3.房地产抵押价值</v>
      </c>
      <c r="C13" s="1397" t="s">
        <v>910</v>
      </c>
      <c r="D13" s="800" t="e">
        <f ca="1">结果表!H107</f>
        <v>#REF!</v>
      </c>
    </row>
    <row r="14" spans="1:5" ht="15.6">
      <c r="B14" s="3171"/>
      <c r="C14" s="1392" t="s">
        <v>911</v>
      </c>
      <c r="D14" s="797" t="e">
        <f ca="1">NUMBERSTRING(INT(D13*10000),2)&amp;"元整"</f>
        <v>#REF!</v>
      </c>
    </row>
    <row r="15" spans="1:5" ht="15.6">
      <c r="B15" s="3176"/>
      <c r="C15" s="1393" t="s">
        <v>921</v>
      </c>
      <c r="D15" s="806" t="e">
        <f ca="1">结果表!H108</f>
        <v>#REF!</v>
      </c>
    </row>
    <row r="16" spans="1:5" ht="15.6">
      <c r="B16" s="3177" t="str">
        <f>结果表!E109</f>
        <v>——</v>
      </c>
      <c r="C16" s="1397" t="s">
        <v>922</v>
      </c>
      <c r="D16" s="1398" t="str">
        <f>结果表!H109</f>
        <v>——</v>
      </c>
    </row>
    <row r="17" spans="1:5" ht="15.6">
      <c r="B17" s="3178"/>
      <c r="C17" s="1392" t="s">
        <v>923</v>
      </c>
      <c r="D17" s="797" t="e">
        <f>NUMBERSTRING(INT(D16*10000),2)&amp;"元整"</f>
        <v>#VALUE!</v>
      </c>
    </row>
    <row r="18" spans="1:5" ht="15.6">
      <c r="B18" s="3179"/>
      <c r="C18" s="1393" t="s">
        <v>912</v>
      </c>
      <c r="D18" s="806" t="str">
        <f>结果表!H110</f>
        <v>——</v>
      </c>
    </row>
    <row r="19" spans="1:5" ht="15.6">
      <c r="B19" s="3170" t="str">
        <f>结果表!E111</f>
        <v>——</v>
      </c>
      <c r="C19" s="1397" t="s">
        <v>910</v>
      </c>
      <c r="D19" s="798" t="str">
        <f>结果表!H111</f>
        <v>——</v>
      </c>
    </row>
    <row r="20" spans="1:5" ht="15.6">
      <c r="B20" s="3171"/>
      <c r="C20" s="1392" t="s">
        <v>923</v>
      </c>
      <c r="D20" s="797" t="e">
        <f>NUMBERSTRING(INT(D19*10000),2)&amp;"元整"</f>
        <v>#VALUE!</v>
      </c>
    </row>
    <row r="21" spans="1:5" ht="16.2" thickBot="1">
      <c r="B21" s="317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26533</v>
      </c>
      <c r="C2" s="2" t="s">
        <v>106</v>
      </c>
      <c r="D2" s="191"/>
      <c r="E2" s="191"/>
      <c r="F2" s="191"/>
      <c r="G2" s="191"/>
    </row>
    <row r="3" spans="1:7" s="192" customFormat="1" ht="18" customHeight="1" thickBot="1">
      <c r="A3" s="195" t="s">
        <v>58</v>
      </c>
      <c r="B3" s="196">
        <f ca="1">ROUND(B2*10000/'数据-汇总表'!E3,0)</f>
        <v>8227287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32.25</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32.25</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2082</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32.25</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8.9999999999999998E-4</v>
      </c>
      <c r="D44" s="230"/>
      <c r="E44" s="230"/>
      <c r="F44" s="231"/>
      <c r="G44" s="3353"/>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17</v>
      </c>
      <c r="D51" s="224"/>
      <c r="E51" s="224"/>
      <c r="F51" s="256"/>
      <c r="G51" s="226" t="s">
        <v>37</v>
      </c>
    </row>
    <row r="52" spans="1:7" s="200" customFormat="1" ht="16.8" thickBot="1">
      <c r="A52" s="257" t="s">
        <v>38</v>
      </c>
      <c r="B52" s="258"/>
      <c r="C52" s="259">
        <f ca="1">C31+C51</f>
        <v>26533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2" t="s">
        <v>2838</v>
      </c>
      <c r="B1" s="3492"/>
      <c r="C1" s="3492"/>
      <c r="D1" s="3492"/>
      <c r="E1" s="3492"/>
      <c r="F1" s="3492"/>
      <c r="G1" s="3493"/>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0"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91"/>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4" t="s">
        <v>3180</v>
      </c>
      <c r="B1" s="3494"/>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95" t="s">
        <v>3231</v>
      </c>
      <c r="B1" s="3495"/>
      <c r="C1" s="3495"/>
      <c r="D1" s="3495"/>
      <c r="E1" s="3495"/>
      <c r="F1" s="3496"/>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7">
        <f>基准地价修正!G23</f>
        <v>45737</v>
      </c>
      <c r="B1" s="2929" t="s">
        <v>3378</v>
      </c>
      <c r="C1" s="2930"/>
      <c r="D1" s="2930"/>
      <c r="E1" s="2930"/>
      <c r="F1" s="2930"/>
      <c r="G1" s="2930"/>
      <c r="H1" s="2930"/>
      <c r="I1" s="2930"/>
      <c r="J1" s="2896"/>
      <c r="K1" s="2930" t="s">
        <v>454</v>
      </c>
      <c r="L1" s="2930"/>
      <c r="M1" s="2930"/>
      <c r="N1" s="2930"/>
      <c r="O1" s="2930"/>
      <c r="P1" s="2930"/>
      <c r="Q1" s="2896"/>
      <c r="R1" s="3497" t="s">
        <v>456</v>
      </c>
      <c r="S1" s="3498"/>
      <c r="T1" s="3498"/>
      <c r="U1" s="3498"/>
      <c r="V1" s="3498"/>
      <c r="W1" s="3498"/>
      <c r="X1" s="2896"/>
      <c r="Y1" s="3497" t="s">
        <v>457</v>
      </c>
      <c r="Z1" s="3498"/>
      <c r="AA1" s="3498"/>
      <c r="AB1" s="3498"/>
      <c r="AC1" s="3498"/>
      <c r="AD1" s="3498"/>
    </row>
    <row r="2" spans="1:30"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3.2">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3374</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3383</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3382</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3375</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3373</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3369</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3368</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3366</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3365</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3364</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3362</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3353</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3381</v>
      </c>
    </row>
    <row r="24" spans="1:30">
      <c r="I24" s="1405" t="s">
        <v>2824</v>
      </c>
    </row>
    <row r="26" spans="1:30" s="2009" customFormat="1" ht="13.2">
      <c r="B26" s="2929" t="s">
        <v>3379</v>
      </c>
      <c r="C26" s="2930"/>
      <c r="D26" s="2930"/>
      <c r="E26" s="2930"/>
      <c r="F26" s="2930"/>
      <c r="G26" s="2930"/>
      <c r="H26" s="2930"/>
      <c r="I26" s="2930"/>
      <c r="J26" s="2896"/>
      <c r="K26" s="2930" t="s">
        <v>2825</v>
      </c>
      <c r="L26" s="2930"/>
      <c r="M26" s="2930"/>
      <c r="N26" s="2930"/>
      <c r="O26" s="2930"/>
      <c r="P26" s="2930"/>
      <c r="Q26" s="2896"/>
      <c r="R26" s="3497" t="s">
        <v>2826</v>
      </c>
      <c r="S26" s="3498"/>
      <c r="T26" s="3498"/>
      <c r="U26" s="3498"/>
      <c r="V26" s="3498"/>
      <c r="W26" s="3498"/>
      <c r="X26" s="2896"/>
      <c r="Y26" s="3497" t="s">
        <v>2827</v>
      </c>
      <c r="Z26" s="3498"/>
      <c r="AA26" s="3498"/>
      <c r="AB26" s="3498"/>
      <c r="AC26" s="3498"/>
      <c r="AD26" s="3498"/>
    </row>
    <row r="27" spans="1:30" s="2010" customFormat="1" ht="1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3.2">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3374</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3376</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3371</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3377</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3372</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3370</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3368</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3367</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3365</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3364</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3363</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3353</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估价结果一览表</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房地产市场价值</v>
      </c>
      <c r="I2" s="3181"/>
    </row>
    <row r="3" spans="1:9" ht="15.6">
      <c r="A3" s="3182"/>
      <c r="B3" s="3182"/>
      <c r="C3" s="3182"/>
      <c r="D3" s="801" t="s">
        <v>925</v>
      </c>
      <c r="E3" s="801" t="s">
        <v>931</v>
      </c>
      <c r="F3" s="801" t="s">
        <v>925</v>
      </c>
      <c r="G3" s="801" t="s">
        <v>926</v>
      </c>
      <c r="H3" s="801" t="s">
        <v>925</v>
      </c>
      <c r="I3" s="801" t="s">
        <v>926</v>
      </c>
    </row>
    <row r="4" spans="1:9" ht="15">
      <c r="A4" s="1403" t="str">
        <f>项目基本情况!S2</f>
        <v>北京市房地产</v>
      </c>
      <c r="B4" s="801">
        <f>项目基本情况!C17</f>
        <v>32.25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2" t="s">
        <v>927</v>
      </c>
      <c r="B5" s="3182"/>
      <c r="C5" s="3182"/>
      <c r="D5" s="3182" t="e">
        <f ca="1">结果表!D119</f>
        <v>#REF!</v>
      </c>
      <c r="E5" s="3182"/>
      <c r="F5" s="3182" t="e">
        <f ca="1">结果表!F119</f>
        <v>#REF!</v>
      </c>
      <c r="G5" s="3182"/>
      <c r="H5" s="3182" t="e">
        <f ca="1">结果表!H119</f>
        <v>#REF!</v>
      </c>
      <c r="I5" s="3182"/>
    </row>
    <row r="6" spans="1:9" ht="15.6">
      <c r="A6" s="3183" t="str">
        <f>结果表!A120</f>
        <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6">
      <c r="A8" s="3183" t="str">
        <f>结果表!A122</f>
        <v/>
      </c>
      <c r="B8" s="3183"/>
      <c r="C8" s="3183"/>
      <c r="D8" s="3183" t="e">
        <f ca="1">结果表!D122</f>
        <v>#REF!</v>
      </c>
      <c r="E8" s="3183"/>
      <c r="F8" s="3183"/>
      <c r="G8" s="3183"/>
      <c r="H8" s="3183"/>
      <c r="I8" s="3183"/>
    </row>
    <row r="9" spans="1:9" ht="15">
      <c r="A9" s="3182" t="s">
        <v>927</v>
      </c>
      <c r="B9" s="3182"/>
      <c r="C9" s="3182"/>
      <c r="D9" s="3182" t="e">
        <f ca="1">结果表!D123</f>
        <v>#REF!</v>
      </c>
      <c r="E9" s="3182"/>
      <c r="F9" s="3182"/>
      <c r="G9" s="3182"/>
      <c r="H9" s="3182"/>
      <c r="I9" s="3182"/>
    </row>
    <row r="10" spans="1:9" ht="15.6">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6">
      <c r="A12" s="3183" t="str">
        <f>结果表!A126</f>
        <v/>
      </c>
      <c r="B12" s="3183"/>
      <c r="C12" s="3183"/>
      <c r="D12" s="3183" t="str">
        <f>结果表!D126</f>
        <v>——</v>
      </c>
      <c r="E12" s="3183"/>
      <c r="F12" s="3183"/>
      <c r="G12" s="3183"/>
      <c r="H12" s="3183"/>
      <c r="I12" s="3183"/>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3"/>
      <c r="C12" s="3193"/>
      <c r="D12" s="3193"/>
    </row>
    <row r="13" spans="1:4" ht="30" customHeight="1">
      <c r="A13" s="3192" t="str">
        <f>IF(项目基本情况!B8="抵押","3.抵押双方在办理抵押登记手续时，应使用本公司出具的正式《房地产评估报告》，特提醒报告使用者注意。","——")</f>
        <v>——</v>
      </c>
      <c r="B13" s="3193"/>
      <c r="C13" s="3193"/>
      <c r="D13" s="3193"/>
    </row>
    <row r="14" spans="1:4" ht="15.75" customHeight="1">
      <c r="A14" s="3192" t="str">
        <f>IF(项目基本情况!B8="抵押","4.本次评估估价师所知悉的法定优先受偿款情况说明如下：","——")</f>
        <v>——</v>
      </c>
      <c r="B14" s="3193"/>
      <c r="C14" s="3193"/>
      <c r="D14" s="3193"/>
    </row>
    <row r="15" spans="1:4" ht="42" customHeight="1">
      <c r="A15" s="3192" t="str">
        <f>IF(项目基本情况!B8="抵押","（1）"&amp;CONCATENATE(项目基本情况!L20,项目基本情况!L21,项目基本情况!L22),"——")</f>
        <v>——</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3" t="s">
        <v>956</v>
      </c>
      <c r="B15" s="3198" t="s">
        <v>109</v>
      </c>
      <c r="C15" s="3199"/>
    </row>
    <row r="16" spans="1:7" ht="14.4">
      <c r="A16" s="3204"/>
      <c r="B16" s="3198" t="s">
        <v>42</v>
      </c>
      <c r="C16" s="3199"/>
    </row>
    <row r="17" spans="1:3" ht="14.4">
      <c r="A17" s="3204"/>
      <c r="B17" s="3201" t="s">
        <v>957</v>
      </c>
      <c r="C17" s="1429" t="s">
        <v>956</v>
      </c>
    </row>
    <row r="18" spans="1:3" ht="14.4">
      <c r="A18" s="3204"/>
      <c r="B18" s="3201"/>
      <c r="C18" s="1429" t="s">
        <v>958</v>
      </c>
    </row>
    <row r="19" spans="1:3" ht="14.4">
      <c r="A19" s="3204"/>
      <c r="B19" s="3201"/>
      <c r="C19" s="1429" t="s">
        <v>959</v>
      </c>
    </row>
    <row r="20" spans="1:3" ht="14.4">
      <c r="A20" s="3205"/>
      <c r="B20" s="3200" t="s">
        <v>960</v>
      </c>
      <c r="C20" s="3199"/>
    </row>
    <row r="21" spans="1:3" ht="14.4">
      <c r="A21" s="1430" t="s">
        <v>961</v>
      </c>
      <c r="B21" s="1431"/>
      <c r="C21" s="1432"/>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9" t="s">
        <v>967</v>
      </c>
    </row>
    <row r="26" spans="1:3" ht="14.4">
      <c r="A26" s="3202"/>
      <c r="B26" s="3201"/>
      <c r="C26" s="1429" t="s">
        <v>968</v>
      </c>
    </row>
    <row r="27" spans="1:3" ht="14.4">
      <c r="A27" s="3202"/>
      <c r="B27" s="3201"/>
      <c r="C27" s="1429" t="s">
        <v>969</v>
      </c>
    </row>
    <row r="28" spans="1:3" ht="14.4">
      <c r="A28" s="3202"/>
      <c r="B28" s="3201"/>
      <c r="C28" s="1429" t="s">
        <v>970</v>
      </c>
    </row>
    <row r="29" spans="1:3" ht="14.4">
      <c r="A29" s="3202"/>
      <c r="B29" s="3201"/>
      <c r="C29" s="1429" t="s">
        <v>971</v>
      </c>
    </row>
    <row r="30" spans="1:3" ht="14.4">
      <c r="A30" s="3202"/>
      <c r="B30" s="3201"/>
      <c r="C30" s="1429" t="s">
        <v>972</v>
      </c>
    </row>
    <row r="31" spans="1:3" ht="14.4">
      <c r="A31" s="3202"/>
      <c r="B31" s="3201"/>
      <c r="C31" s="1429" t="s">
        <v>973</v>
      </c>
    </row>
    <row r="32" spans="1:3" ht="14.4">
      <c r="A32" s="3202"/>
      <c r="B32" s="3201"/>
      <c r="C32" s="1429" t="s">
        <v>974</v>
      </c>
    </row>
    <row r="33" spans="1:3" ht="14.4">
      <c r="A33" s="3202"/>
      <c r="B33" s="320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成本法 (元)</vt:lpstr>
      <vt:lpstr>假设开发法</vt:lpstr>
      <vt:lpstr>收益法</vt:lpstr>
      <vt:lpstr>收益法 (元)</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2025-04-16T05:18:24Z</dcterms:modified>
</cp:coreProperties>
</file>