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48" windowWidth="9612" windowHeight="10272" tabRatio="899" firstSheet="2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权属" sheetId="84" r:id="rId23"/>
    <sheet name="面积清单" sheetId="83" r:id="rId24"/>
    <sheet name="Sheet2" sheetId="86" r:id="rId25"/>
    <sheet name="分房号清单" sheetId="85" r:id="rId26"/>
    <sheet name="假设开发法" sheetId="12"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 (商业)" sheetId="82" r:id="rId48"/>
    <sheet name="成本法 (商业)" sheetId="80" r:id="rId49"/>
    <sheet name="假设开发法 (商业)" sheetId="81" r:id="rId50"/>
    <sheet name="收益法" sheetId="15" state="hidden" r:id="rId51"/>
    <sheet name="收益法 (元)" sheetId="67" r:id="rId52"/>
    <sheet name="Sheet1" sheetId="77" state="hidden" r:id="rId53"/>
    <sheet name="Sheet3" sheetId="79" state="hidden"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15">估价对象房地状况!$A$1:$G$25</definedName>
    <definedName name="_xlnm.Print_Area" localSheetId="8">估价师及机构信息!$A$1:$F$29</definedName>
    <definedName name="_xlnm.Print_Area" localSheetId="50">收益法!$A$1:$AK$69</definedName>
    <definedName name="_xlnm.Print_Area" localSheetId="51">'收益法 (元)'!$A$1:$F$43</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74" i="85" l="1"/>
  <c r="C473" i="85"/>
  <c r="C494" i="85"/>
  <c r="C37" i="9"/>
  <c r="C482" i="85"/>
  <c r="C483" i="85"/>
  <c r="D13" i="83" l="1"/>
  <c r="H43" i="83" l="1"/>
  <c r="E43" i="83"/>
  <c r="B17" i="84"/>
  <c r="J28" i="84"/>
  <c r="G28" i="84"/>
  <c r="C481" i="85" l="1"/>
  <c r="D489" i="85" s="1"/>
  <c r="C368" i="85"/>
  <c r="C261" i="85"/>
  <c r="C167" i="85"/>
  <c r="C82" i="85"/>
  <c r="E489" i="85" l="1"/>
  <c r="F489" i="85" s="1"/>
  <c r="C168" i="85"/>
  <c r="C17" i="84" l="1"/>
  <c r="C18" i="84"/>
  <c r="G33" i="83" l="1"/>
  <c r="J12" i="83"/>
  <c r="H13" i="83"/>
  <c r="C33" i="21" l="1"/>
  <c r="C11" i="21" l="1"/>
  <c r="C11" i="39"/>
  <c r="K13" i="3"/>
  <c r="I13" i="3"/>
  <c r="F13" i="83"/>
  <c r="D46" i="84" l="1"/>
  <c r="D45" i="84"/>
  <c r="D43" i="84"/>
  <c r="D40" i="84"/>
  <c r="C36" i="84"/>
  <c r="D36" i="84"/>
  <c r="B37" i="84"/>
  <c r="G11" i="83"/>
  <c r="G10" i="83"/>
  <c r="G8" i="83"/>
  <c r="B36" i="84"/>
  <c r="E33" i="84"/>
  <c r="E34" i="84"/>
  <c r="E35" i="84"/>
  <c r="E32" i="84"/>
  <c r="E36" i="84" s="1"/>
  <c r="D16" i="84"/>
  <c r="D15" i="84"/>
  <c r="D17" i="84" s="1"/>
  <c r="C13" i="84"/>
  <c r="C12" i="84"/>
  <c r="C10" i="84"/>
  <c r="C9" i="84"/>
  <c r="C7" i="84"/>
  <c r="B3" i="4" l="1"/>
  <c r="A124" i="82"/>
  <c r="A120"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6" i="82"/>
  <c r="D68" i="82"/>
  <c r="F59" i="82"/>
  <c r="E59" i="82"/>
  <c r="D59" i="82"/>
  <c r="N56" i="82"/>
  <c r="M56" i="82"/>
  <c r="K56" i="82"/>
  <c r="J56" i="82"/>
  <c r="F56" i="82"/>
  <c r="O54" i="82" s="1"/>
  <c r="O55" i="82"/>
  <c r="N55" i="82"/>
  <c r="M55" i="82"/>
  <c r="K55" i="82"/>
  <c r="J55" i="82"/>
  <c r="I55" i="82"/>
  <c r="F55" i="82" s="1"/>
  <c r="O53" i="82" s="1"/>
  <c r="N54" i="82"/>
  <c r="F54" i="82"/>
  <c r="N53" i="82"/>
  <c r="F53" i="82"/>
  <c r="F52" i="82"/>
  <c r="K49" i="82"/>
  <c r="F48" i="82"/>
  <c r="O52" i="82" s="1"/>
  <c r="E48" i="82"/>
  <c r="N52" i="82" s="1"/>
  <c r="D48" i="82"/>
  <c r="M52" i="82" s="1"/>
  <c r="F33" i="82"/>
  <c r="D27" i="82"/>
  <c r="C25" i="82"/>
  <c r="C24" i="82"/>
  <c r="D17" i="82"/>
  <c r="C17" i="82"/>
  <c r="C18" i="82" s="1"/>
  <c r="D18" i="82" s="1"/>
  <c r="L4" i="82"/>
  <c r="K4" i="82"/>
  <c r="H1" i="82"/>
  <c r="F31" i="81"/>
  <c r="F24" i="81"/>
  <c r="F23" i="81"/>
  <c r="F22" i="81"/>
  <c r="E20" i="81"/>
  <c r="E19" i="81"/>
  <c r="E17" i="81"/>
  <c r="F15" i="81"/>
  <c r="E14" i="81"/>
  <c r="F13" i="81"/>
  <c r="F12" i="81"/>
  <c r="K7" i="81"/>
  <c r="J7" i="81"/>
  <c r="I7" i="81"/>
  <c r="H7" i="81"/>
  <c r="G7" i="81"/>
  <c r="F7" i="81"/>
  <c r="E7" i="81"/>
  <c r="D7" i="81"/>
  <c r="K1" i="81"/>
  <c r="F38" i="80"/>
  <c r="E37" i="80"/>
  <c r="F36" i="80"/>
  <c r="F35" i="80"/>
  <c r="F30" i="80"/>
  <c r="F21" i="80"/>
  <c r="C40" i="80" s="1"/>
  <c r="C21" i="80"/>
  <c r="F20" i="80"/>
  <c r="E19" i="80"/>
  <c r="C19" i="80"/>
  <c r="E10" i="80"/>
  <c r="E9" i="80"/>
  <c r="F7" i="80"/>
  <c r="G1" i="80"/>
  <c r="E2" i="80"/>
  <c r="J57" i="82" l="1"/>
  <c r="J59" i="82" s="1"/>
  <c r="J61" i="82" s="1"/>
  <c r="C92" i="82"/>
  <c r="C94" i="82"/>
  <c r="K120" i="82"/>
  <c r="D121" i="82"/>
  <c r="H112" i="82"/>
  <c r="H110" i="82"/>
  <c r="H111" i="82"/>
  <c r="D126" i="82" s="1"/>
  <c r="D127" i="82" s="1"/>
  <c r="F28" i="81"/>
  <c r="F27" i="80"/>
  <c r="C13" i="81"/>
  <c r="D9" i="80"/>
  <c r="D19" i="81"/>
  <c r="C36" i="80"/>
  <c r="C29" i="80" l="1"/>
  <c r="D27" i="80" s="1"/>
  <c r="C47" i="80"/>
  <c r="D45" i="80" s="1"/>
  <c r="C9" i="80"/>
  <c r="C19" i="81"/>
  <c r="G26" i="77"/>
  <c r="G24" i="77"/>
  <c r="G9" i="77"/>
  <c r="I38" i="39"/>
  <c r="G38" i="39"/>
  <c r="E38" i="39"/>
  <c r="F20" i="6"/>
  <c r="B15" i="74" s="1"/>
  <c r="F19" i="6"/>
  <c r="C8" i="80" l="1"/>
  <c r="C27" i="77"/>
  <c r="I7" i="39" l="1"/>
  <c r="G7" i="39"/>
  <c r="E7" i="39"/>
  <c r="I5" i="39"/>
  <c r="G5" i="39"/>
  <c r="E5" i="39"/>
  <c r="M31" i="78"/>
  <c r="G31" i="78"/>
  <c r="M30" i="78"/>
  <c r="G30" i="78"/>
  <c r="M29" i="78"/>
  <c r="G29" i="78"/>
  <c r="M28" i="78"/>
  <c r="G28" i="78"/>
  <c r="M27" i="78"/>
  <c r="G27" i="78"/>
  <c r="M26" i="78"/>
  <c r="G26" i="78"/>
  <c r="M25" i="78"/>
  <c r="G25" i="78"/>
  <c r="M24" i="78"/>
  <c r="G24" i="78"/>
  <c r="M23" i="78"/>
  <c r="G23" i="78"/>
  <c r="M22" i="78"/>
  <c r="G22" i="78"/>
  <c r="M21" i="78"/>
  <c r="G21" i="78"/>
  <c r="M20" i="78"/>
  <c r="G20" i="78"/>
  <c r="M19" i="78"/>
  <c r="G19" i="78"/>
  <c r="M18" i="78"/>
  <c r="G18" i="78"/>
  <c r="M17" i="78"/>
  <c r="G17" i="78"/>
  <c r="M16" i="78"/>
  <c r="G16" i="78"/>
  <c r="M15" i="78"/>
  <c r="G15" i="78"/>
  <c r="M14" i="78"/>
  <c r="G14" i="78"/>
  <c r="M13" i="78"/>
  <c r="G13" i="78"/>
  <c r="M12" i="78"/>
  <c r="G12" i="78"/>
  <c r="M11" i="78"/>
  <c r="G11" i="78"/>
  <c r="M10" i="78"/>
  <c r="G10" i="78"/>
  <c r="M9" i="78"/>
  <c r="G9" i="78"/>
  <c r="M8" i="78"/>
  <c r="G8" i="78"/>
  <c r="M7" i="78"/>
  <c r="G7" i="78"/>
  <c r="M6" i="78"/>
  <c r="G6" i="78"/>
  <c r="M5" i="78"/>
  <c r="G5" i="78"/>
  <c r="M4" i="78"/>
  <c r="G4" i="78"/>
  <c r="M3" i="78"/>
  <c r="G3" i="78"/>
  <c r="M2" i="78"/>
  <c r="G2" i="78"/>
  <c r="M5" i="77" l="1"/>
  <c r="M7" i="77"/>
  <c r="M4" i="77"/>
  <c r="C9" i="77"/>
  <c r="M6" i="77" s="1"/>
  <c r="J5" i="77"/>
  <c r="J6" i="77" s="1"/>
  <c r="J7" i="77" s="1"/>
  <c r="J8" i="77" s="1"/>
  <c r="G8" i="77"/>
  <c r="I8" i="77" s="1"/>
  <c r="K8" i="77" s="1"/>
  <c r="L8" i="77" s="1"/>
  <c r="G7" i="77"/>
  <c r="I7" i="77" s="1"/>
  <c r="K7" i="77" s="1"/>
  <c r="L7" i="77" s="1"/>
  <c r="G6" i="77"/>
  <c r="I6" i="77" s="1"/>
  <c r="K6" i="77" s="1"/>
  <c r="L6" i="77" s="1"/>
  <c r="G5" i="77"/>
  <c r="I5" i="77" s="1"/>
  <c r="K5" i="77" s="1"/>
  <c r="L5" i="77" s="1"/>
  <c r="G4" i="77"/>
  <c r="I4" i="77" l="1"/>
  <c r="K4" i="77" s="1"/>
  <c r="L4" i="77" s="1"/>
  <c r="L9" i="77" s="1"/>
  <c r="M8" i="77"/>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D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N25" i="71"/>
  <c r="X25" i="71" s="1"/>
  <c r="Q24" i="71"/>
  <c r="F25" i="71" s="1"/>
  <c r="F26" i="71" s="1"/>
  <c r="F27" i="71" s="1"/>
  <c r="V27" i="71" s="1"/>
  <c r="P24" i="71"/>
  <c r="E25" i="71" s="1"/>
  <c r="E26" i="71" s="1"/>
  <c r="E27" i="71" s="1"/>
  <c r="U27" i="71" s="1"/>
  <c r="O24" i="71"/>
  <c r="N24" i="71"/>
  <c r="D24" i="71"/>
  <c r="Q23" i="71"/>
  <c r="AB23" i="71" s="1"/>
  <c r="P23" i="71"/>
  <c r="O23" i="71"/>
  <c r="Y23" i="71" s="1"/>
  <c r="Z23" i="71" s="1"/>
  <c r="N23" i="71"/>
  <c r="Q22" i="71"/>
  <c r="P22" i="71"/>
  <c r="O22" i="71"/>
  <c r="N22" i="71"/>
  <c r="Q21" i="71"/>
  <c r="P21" i="71"/>
  <c r="O21" i="71"/>
  <c r="N21" i="71"/>
  <c r="X21" i="71" s="1"/>
  <c r="Q20" i="71"/>
  <c r="F21" i="71" s="1"/>
  <c r="P20" i="71"/>
  <c r="O20" i="71"/>
  <c r="N20" i="71"/>
  <c r="X20" i="71" s="1"/>
  <c r="D20" i="71"/>
  <c r="Q19" i="71"/>
  <c r="AB19" i="71" s="1"/>
  <c r="P19" i="71"/>
  <c r="O19" i="71"/>
  <c r="Y19" i="71" s="1"/>
  <c r="Z19" i="71" s="1"/>
  <c r="N19" i="71"/>
  <c r="Q18" i="71"/>
  <c r="P18" i="71"/>
  <c r="O18" i="71"/>
  <c r="N18" i="71"/>
  <c r="Q17" i="71"/>
  <c r="P17" i="71"/>
  <c r="O17" i="71"/>
  <c r="N17" i="71"/>
  <c r="X17" i="71" s="1"/>
  <c r="Q16" i="71"/>
  <c r="F17" i="71" s="1"/>
  <c r="P16" i="71"/>
  <c r="E17" i="71" s="1"/>
  <c r="E18" i="71" s="1"/>
  <c r="E19" i="71" s="1"/>
  <c r="U19" i="71" s="1"/>
  <c r="O16" i="71"/>
  <c r="N16" i="71"/>
  <c r="D16" i="71"/>
  <c r="O15" i="71"/>
  <c r="N15" i="71"/>
  <c r="B17" i="71"/>
  <c r="B18" i="71" s="1"/>
  <c r="B19" i="71" s="1"/>
  <c r="S19" i="71" s="1"/>
  <c r="B25" i="71"/>
  <c r="B26" i="71" s="1"/>
  <c r="B27" i="71" s="1"/>
  <c r="S27" i="71" s="1"/>
  <c r="X24" i="71"/>
  <c r="AA24" i="71"/>
  <c r="N55" i="71"/>
  <c r="E21" i="71"/>
  <c r="E22" i="71" s="1"/>
  <c r="E23" i="71" s="1"/>
  <c r="U23" i="71" s="1"/>
  <c r="C17" i="71"/>
  <c r="D17" i="71" s="1"/>
  <c r="AB16" i="71"/>
  <c r="X18" i="71"/>
  <c r="X19" i="71"/>
  <c r="C21" i="71"/>
  <c r="C22" i="71" s="1"/>
  <c r="C23" i="71" s="1"/>
  <c r="D23" i="71" s="1"/>
  <c r="Y20" i="71"/>
  <c r="Z20" i="71" s="1"/>
  <c r="AB20" i="71"/>
  <c r="AA21" i="71"/>
  <c r="AA22" i="71"/>
  <c r="AA23" i="71"/>
  <c r="C25" i="71"/>
  <c r="D25" i="71" s="1"/>
  <c r="Y24" i="71"/>
  <c r="Z24" i="71" s="1"/>
  <c r="AB24" i="71"/>
  <c r="AA25" i="71"/>
  <c r="Y3" i="71"/>
  <c r="Z3" i="71" s="1"/>
  <c r="Y13" i="71"/>
  <c r="Z13" i="71" s="1"/>
  <c r="Y15" i="71"/>
  <c r="Z15" i="71" s="1"/>
  <c r="B15" i="71"/>
  <c r="B14" i="71" s="1"/>
  <c r="B13" i="71" s="1"/>
  <c r="X12" i="71"/>
  <c r="X14" i="71"/>
  <c r="C18" i="71"/>
  <c r="C19" i="71" s="1"/>
  <c r="D19" i="71" s="1"/>
  <c r="D21" i="71"/>
  <c r="C30" i="71"/>
  <c r="D29" i="71"/>
  <c r="C34" i="71"/>
  <c r="D34" i="71" s="1"/>
  <c r="C38" i="71"/>
  <c r="C39" i="71" s="1"/>
  <c r="D39" i="71" s="1"/>
  <c r="D37" i="71"/>
  <c r="P15" i="71"/>
  <c r="E42" i="71"/>
  <c r="E43" i="71" s="1"/>
  <c r="U43" i="71" s="1"/>
  <c r="E46" i="71"/>
  <c r="E47" i="71" s="1"/>
  <c r="U47" i="71" s="1"/>
  <c r="E50" i="71"/>
  <c r="E51" i="71" s="1"/>
  <c r="U51" i="71" s="1"/>
  <c r="U55" i="71"/>
  <c r="E54" i="71"/>
  <c r="P54" i="71" s="1"/>
  <c r="Q15" i="71"/>
  <c r="C46" i="71"/>
  <c r="C47" i="71" s="1"/>
  <c r="D47" i="71" s="1"/>
  <c r="D45" i="71"/>
  <c r="C50" i="71"/>
  <c r="C51" i="71" s="1"/>
  <c r="D51" i="71" s="1"/>
  <c r="D49" i="71"/>
  <c r="N54" i="71"/>
  <c r="B53" i="71"/>
  <c r="N53" i="71" s="1"/>
  <c r="T55" i="71"/>
  <c r="O55" i="71"/>
  <c r="D55" i="71"/>
  <c r="C54" i="71"/>
  <c r="Q55" i="71"/>
  <c r="C58" i="71"/>
  <c r="E58" i="71"/>
  <c r="E57" i="71" s="1"/>
  <c r="D59" i="71"/>
  <c r="C62" i="71"/>
  <c r="C61" i="71" s="1"/>
  <c r="D61" i="71" s="1"/>
  <c r="E62" i="71"/>
  <c r="E61" i="71" s="1"/>
  <c r="D63" i="71"/>
  <c r="C66" i="71"/>
  <c r="E66" i="71"/>
  <c r="E65" i="71" s="1"/>
  <c r="D67" i="71"/>
  <c r="C70" i="71"/>
  <c r="D70" i="71" s="1"/>
  <c r="C74" i="71"/>
  <c r="C73" i="71" s="1"/>
  <c r="D73" i="71" s="1"/>
  <c r="F15" i="71"/>
  <c r="F14" i="71" s="1"/>
  <c r="F13" i="71" s="1"/>
  <c r="AB15" i="71"/>
  <c r="AA12" i="71"/>
  <c r="AA14" i="71"/>
  <c r="C53" i="71"/>
  <c r="O54" i="71"/>
  <c r="D54" i="71"/>
  <c r="D50" i="71"/>
  <c r="C69" i="71"/>
  <c r="D69" i="71" s="1"/>
  <c r="D62" i="71"/>
  <c r="N52" i="71"/>
  <c r="D74" i="71"/>
  <c r="D66" i="71"/>
  <c r="C65" i="71"/>
  <c r="D65" i="71" s="1"/>
  <c r="D58" i="71"/>
  <c r="C57" i="71"/>
  <c r="D57" i="71"/>
  <c r="D46" i="71"/>
  <c r="E53" i="71"/>
  <c r="P52" i="71" s="1"/>
  <c r="D38" i="71"/>
  <c r="D22" i="71"/>
  <c r="D18" i="71"/>
  <c r="D53" i="71"/>
  <c r="T19" i="71"/>
  <c r="T23" i="71"/>
  <c r="T39" i="71"/>
  <c r="T47" i="71"/>
  <c r="T51"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D83" i="21"/>
  <c r="F21" i="21" s="1"/>
  <c r="AA21" i="21" s="1"/>
  <c r="D81" i="21"/>
  <c r="G20" i="20"/>
  <c r="B86" i="43" s="1"/>
  <c r="C22" i="20"/>
  <c r="B75" i="43" s="1"/>
  <c r="B55" i="43"/>
  <c r="C25" i="40"/>
  <c r="S18" i="36"/>
  <c r="U18" i="36"/>
  <c r="S21" i="34"/>
  <c r="H25" i="40"/>
  <c r="J25" i="40"/>
  <c r="H29" i="39"/>
  <c r="U29" i="39" s="1"/>
  <c r="J29" i="39"/>
  <c r="AC29" i="39" s="1"/>
  <c r="J18" i="36"/>
  <c r="AC18" i="36" s="1"/>
  <c r="F68" i="35"/>
  <c r="G68" i="35" s="1"/>
  <c r="H18" i="35"/>
  <c r="AB18" i="35" s="1"/>
  <c r="S18" i="35"/>
  <c r="J18" i="35"/>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J21" i="21"/>
  <c r="W21" i="21" s="1"/>
  <c r="F38" i="68"/>
  <c r="E37" i="68"/>
  <c r="F36" i="68"/>
  <c r="F35" i="68"/>
  <c r="F21" i="68"/>
  <c r="F20" i="68"/>
  <c r="E10" i="68"/>
  <c r="E9" i="68"/>
  <c r="Q72" i="67"/>
  <c r="Q59" i="67"/>
  <c r="Q58" i="67"/>
  <c r="Q51" i="67"/>
  <c r="J50" i="67"/>
  <c r="M47" i="67"/>
  <c r="D46" i="67"/>
  <c r="F33" i="67"/>
  <c r="F61" i="67" s="1"/>
  <c r="F23" i="67"/>
  <c r="D24" i="67" s="1"/>
  <c r="F21" i="67"/>
  <c r="F20" i="67"/>
  <c r="M19" i="67"/>
  <c r="F18" i="67"/>
  <c r="F17" i="67"/>
  <c r="F15" i="67"/>
  <c r="S2" i="4"/>
  <c r="A4" i="52" s="1"/>
  <c r="B41" i="72" s="1"/>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2" s="1"/>
  <c r="F15" i="4"/>
  <c r="F8" i="1"/>
  <c r="G8" i="1" s="1"/>
  <c r="F9" i="1"/>
  <c r="F10" i="1"/>
  <c r="F11" i="1"/>
  <c r="G11" i="1" s="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6" i="1" s="1"/>
  <c r="G6" i="1" s="1"/>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32" i="6" s="1"/>
  <c r="E20" i="6"/>
  <c r="E21" i="6"/>
  <c r="K8" i="1"/>
  <c r="M8" i="1" s="1"/>
  <c r="O8" i="1" s="1"/>
  <c r="P8" i="1" s="1"/>
  <c r="F23" i="15"/>
  <c r="D24" i="15" s="1"/>
  <c r="E22" i="6"/>
  <c r="E23" i="6"/>
  <c r="E24" i="6"/>
  <c r="E25" i="6"/>
  <c r="E26" i="6"/>
  <c r="BB13" i="3"/>
  <c r="BB5" i="3" s="1"/>
  <c r="E5" i="6" s="1"/>
  <c r="D9" i="11" s="1"/>
  <c r="C9" i="11"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B86" i="39"/>
  <c r="B84" i="39"/>
  <c r="J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J45" i="21" s="1"/>
  <c r="W45" i="21" s="1"/>
  <c r="B126" i="21"/>
  <c r="B98" i="21"/>
  <c r="H31" i="21" s="1"/>
  <c r="AB31" i="21" s="1"/>
  <c r="B96" i="21"/>
  <c r="B94" i="21"/>
  <c r="J29" i="21" s="1"/>
  <c r="B92" i="21"/>
  <c r="B90" i="21"/>
  <c r="J27" i="21" s="1"/>
  <c r="B74" i="21"/>
  <c r="J14" i="21" s="1"/>
  <c r="B72" i="21"/>
  <c r="H13" i="21"/>
  <c r="AB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12" i="21"/>
  <c r="AC12" i="21" s="1"/>
  <c r="H12" i="21"/>
  <c r="AB12" i="21" s="1"/>
  <c r="J26" i="21"/>
  <c r="W26" i="21" s="1"/>
  <c r="F26" i="21"/>
  <c r="S26" i="21" s="1"/>
  <c r="AB41" i="21"/>
  <c r="J35" i="39"/>
  <c r="AC35" i="39"/>
  <c r="F35" i="39"/>
  <c r="AA35"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C40" i="40"/>
  <c r="AA9" i="40"/>
  <c r="AC9" i="40"/>
  <c r="U9" i="40"/>
  <c r="S34" i="40"/>
  <c r="U38" i="40"/>
  <c r="S40" i="40"/>
  <c r="W31" i="40"/>
  <c r="F42" i="39"/>
  <c r="AA42" i="39" s="1"/>
  <c r="H40" i="39"/>
  <c r="AB40" i="39" s="1"/>
  <c r="H39" i="39"/>
  <c r="U39" i="39" s="1"/>
  <c r="S34" i="39"/>
  <c r="H34" i="39"/>
  <c r="U34"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19" i="39"/>
  <c r="AC19" i="39" s="1"/>
  <c r="J17" i="39"/>
  <c r="W17" i="39" s="1"/>
  <c r="J27" i="39"/>
  <c r="AC27" i="39" s="1"/>
  <c r="U34" i="21"/>
  <c r="C27" i="39"/>
  <c r="C21" i="39"/>
  <c r="H11" i="39"/>
  <c r="C15" i="39"/>
  <c r="H32" i="33"/>
  <c r="AB32" i="33" s="1"/>
  <c r="H37" i="40"/>
  <c r="U37" i="40" s="1"/>
  <c r="H36" i="40"/>
  <c r="AB36" i="40" s="1"/>
  <c r="F35" i="40"/>
  <c r="AA35" i="40" s="1"/>
  <c r="H23" i="40"/>
  <c r="AB23" i="40" s="1"/>
  <c r="H17" i="40"/>
  <c r="U17" i="40" s="1"/>
  <c r="J15" i="40"/>
  <c r="W15" i="40" s="1"/>
  <c r="J11" i="40"/>
  <c r="W11" i="40" s="1"/>
  <c r="AB8" i="39"/>
  <c r="AB12" i="33"/>
  <c r="AA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AA28" i="34"/>
  <c r="F27" i="34"/>
  <c r="AA27" i="34"/>
  <c r="F25" i="34"/>
  <c r="S25" i="34"/>
  <c r="H23" i="34"/>
  <c r="U23" i="34"/>
  <c r="J23" i="34"/>
  <c r="F19" i="34"/>
  <c r="H17" i="34"/>
  <c r="U17" i="34"/>
  <c r="F15" i="34"/>
  <c r="J15" i="34"/>
  <c r="H15" i="34"/>
  <c r="AB15" i="34"/>
  <c r="W8" i="34"/>
  <c r="J28" i="34"/>
  <c r="W28" i="34" s="1"/>
  <c r="F41" i="33"/>
  <c r="AA41" i="33" s="1"/>
  <c r="S38" i="33"/>
  <c r="E113" i="33"/>
  <c r="F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c r="J123" i="21" s="1"/>
  <c r="K123" i="21" s="1"/>
  <c r="L123" i="21" s="1"/>
  <c r="M123" i="21" s="1"/>
  <c r="J42" i="21"/>
  <c r="AC42" i="21" s="1"/>
  <c r="H42" i="21"/>
  <c r="U42" i="21" s="1"/>
  <c r="J44" i="34"/>
  <c r="F44" i="34"/>
  <c r="AA44" i="34" s="1"/>
  <c r="J10" i="35"/>
  <c r="W10" i="35" s="1"/>
  <c r="BL587" i="3"/>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c r="F27" i="21"/>
  <c r="AA27" i="21"/>
  <c r="F45" i="21"/>
  <c r="AA45" i="21" s="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AB43" i="39" s="1"/>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H13" i="39"/>
  <c r="AB13" i="39" s="1"/>
  <c r="H14" i="40"/>
  <c r="AB14" i="40" s="1"/>
  <c r="J14" i="40"/>
  <c r="W14" i="40" s="1"/>
  <c r="F14" i="40"/>
  <c r="AA14" i="40" s="1"/>
  <c r="J14" i="37"/>
  <c r="AC14" i="37" s="1"/>
  <c r="J27" i="37"/>
  <c r="AC27" i="37" s="1"/>
  <c r="AA13" i="35"/>
  <c r="J36" i="37"/>
  <c r="AC36" i="37" s="1"/>
  <c r="AB11" i="35"/>
  <c r="J10" i="36"/>
  <c r="AC10" i="36"/>
  <c r="AB30" i="21"/>
  <c r="AA14" i="37"/>
  <c r="W13" i="36"/>
  <c r="AB46" i="34"/>
  <c r="AA14" i="34"/>
  <c r="AB45" i="33"/>
  <c r="U31" i="33"/>
  <c r="U13" i="33"/>
  <c r="AC28" i="21"/>
  <c r="S44" i="34"/>
  <c r="BA586" i="3"/>
  <c r="BA585" i="3"/>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BA526" i="3"/>
  <c r="BA524" i="3"/>
  <c r="BA522" i="3"/>
  <c r="BA520" i="3"/>
  <c r="BA518" i="3"/>
  <c r="AZ518" i="3" s="1"/>
  <c r="BA516" i="3"/>
  <c r="BA514" i="3"/>
  <c r="BA512" i="3"/>
  <c r="AZ512" i="3" s="1"/>
  <c r="BA510" i="3"/>
  <c r="BA508" i="3"/>
  <c r="BA506" i="3"/>
  <c r="BA504" i="3"/>
  <c r="BA502" i="3"/>
  <c r="BA500" i="3"/>
  <c r="BA498" i="3"/>
  <c r="AZ498" i="3" s="1"/>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c r="BQ553" i="3"/>
  <c r="BL553" i="3" s="1"/>
  <c r="BQ551" i="3"/>
  <c r="BL551" i="3" s="1"/>
  <c r="BQ549" i="3"/>
  <c r="BQ547" i="3"/>
  <c r="BL547" i="3" s="1"/>
  <c r="BQ545" i="3"/>
  <c r="BL545" i="3" s="1"/>
  <c r="BQ543" i="3"/>
  <c r="BL543" i="3" s="1"/>
  <c r="AZ543" i="3" s="1"/>
  <c r="BQ541" i="3"/>
  <c r="BL541" i="3"/>
  <c r="BQ539" i="3"/>
  <c r="BL539" i="3" s="1"/>
  <c r="BQ537" i="3"/>
  <c r="BL537" i="3" s="1"/>
  <c r="BQ535" i="3"/>
  <c r="BL535" i="3" s="1"/>
  <c r="AZ535" i="3" s="1"/>
  <c r="BQ533" i="3"/>
  <c r="BL533" i="3"/>
  <c r="BQ531" i="3"/>
  <c r="BL531" i="3" s="1"/>
  <c r="BQ529" i="3"/>
  <c r="BL529" i="3" s="1"/>
  <c r="BQ527" i="3"/>
  <c r="BL527" i="3" s="1"/>
  <c r="AZ527" i="3" s="1"/>
  <c r="BQ525" i="3"/>
  <c r="BL525" i="3"/>
  <c r="BQ523" i="3"/>
  <c r="BL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U35" i="35"/>
  <c r="W14" i="37"/>
  <c r="U33" i="37"/>
  <c r="U39" i="37"/>
  <c r="AC8" i="37"/>
  <c r="U26" i="37"/>
  <c r="AB13" i="34"/>
  <c r="W37" i="34"/>
  <c r="AB37" i="34"/>
  <c r="AC36" i="34"/>
  <c r="AA13" i="33"/>
  <c r="AC31" i="33"/>
  <c r="AC45" i="33"/>
  <c r="W44" i="33"/>
  <c r="U11" i="33"/>
  <c r="U26" i="21"/>
  <c r="AC46" i="21"/>
  <c r="U12"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19" i="40"/>
  <c r="S19" i="40"/>
  <c r="AC13" i="40"/>
  <c r="AB33" i="40"/>
  <c r="W43" i="39"/>
  <c r="AB45" i="39"/>
  <c r="AB44" i="39"/>
  <c r="U44" i="39"/>
  <c r="H37" i="39"/>
  <c r="AB37" i="39" s="1"/>
  <c r="AC37" i="39"/>
  <c r="W37" i="39"/>
  <c r="H25" i="39"/>
  <c r="AB25" i="39" s="1"/>
  <c r="J25" i="39"/>
  <c r="F25" i="39"/>
  <c r="AA25" i="39" s="1"/>
  <c r="W27" i="39"/>
  <c r="U40" i="39"/>
  <c r="W8" i="39"/>
  <c r="J19" i="40"/>
  <c r="AC19" i="40" s="1"/>
  <c r="J50" i="40"/>
  <c r="B54" i="72"/>
  <c r="H103" i="9"/>
  <c r="D8" i="53" s="1"/>
  <c r="B16" i="53"/>
  <c r="B33" i="72" s="1"/>
  <c r="C7" i="37"/>
  <c r="C52" i="37" s="1"/>
  <c r="D52" i="37" s="1"/>
  <c r="E52" i="37" s="1"/>
  <c r="F52" i="37" s="1"/>
  <c r="G52" i="37" s="1"/>
  <c r="H52" i="37" s="1"/>
  <c r="C7" i="34"/>
  <c r="C7" i="36"/>
  <c r="C46" i="36" s="1"/>
  <c r="D46" i="36" s="1"/>
  <c r="E46" i="36" s="1"/>
  <c r="W35" i="40"/>
  <c r="A118" i="9"/>
  <c r="J11" i="39"/>
  <c r="W11" i="39" s="1"/>
  <c r="F11" i="39"/>
  <c r="AA11" i="39" s="1"/>
  <c r="A12" i="52"/>
  <c r="B56" i="72" s="1"/>
  <c r="G4" i="4"/>
  <c r="I4" i="4"/>
  <c r="K5" i="4"/>
  <c r="B47" i="48" s="1"/>
  <c r="F59" i="43"/>
  <c r="H62" i="43"/>
  <c r="AZ20" i="3"/>
  <c r="AZ32"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67" i="3"/>
  <c r="AZ75" i="3"/>
  <c r="AZ83" i="3"/>
  <c r="AZ136" i="3"/>
  <c r="AZ144" i="3"/>
  <c r="AZ160" i="3"/>
  <c r="AZ168" i="3"/>
  <c r="AZ200" i="3"/>
  <c r="AZ85" i="3"/>
  <c r="AZ89" i="3"/>
  <c r="AZ97"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42" i="3"/>
  <c r="AZ150" i="3"/>
  <c r="AZ154" i="3"/>
  <c r="AZ158" i="3"/>
  <c r="AZ162" i="3"/>
  <c r="AZ178" i="3"/>
  <c r="AZ194" i="3"/>
  <c r="AZ500" i="3"/>
  <c r="BA16" i="3"/>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F28" i="6" s="1"/>
  <c r="E28" i="6" s="1"/>
  <c r="BP5" i="3"/>
  <c r="BN5" i="3"/>
  <c r="AZ343" i="3"/>
  <c r="BK5" i="3"/>
  <c r="BI5" i="3"/>
  <c r="BG5" i="3"/>
  <c r="BE5" i="3"/>
  <c r="G17" i="3"/>
  <c r="BA17" i="3"/>
  <c r="BT5" i="3"/>
  <c r="AZ350" i="3"/>
  <c r="AZ352" i="3"/>
  <c r="AZ356" i="3"/>
  <c r="BA15" i="3"/>
  <c r="BR5" i="3"/>
  <c r="G28" i="6"/>
  <c r="AZ388" i="3"/>
  <c r="AZ392" i="3"/>
  <c r="AZ509" i="3"/>
  <c r="G509" i="3"/>
  <c r="BL493" i="3"/>
  <c r="AZ493" i="3" s="1"/>
  <c r="AZ491" i="3"/>
  <c r="AZ376" i="3"/>
  <c r="U36" i="40"/>
  <c r="F36" i="43"/>
  <c r="F81" i="43"/>
  <c r="H83" i="43" s="1"/>
  <c r="H113" i="43"/>
  <c r="F48" i="43"/>
  <c r="H52" i="43" s="1"/>
  <c r="F70" i="43"/>
  <c r="H73" i="43" s="1"/>
  <c r="M11" i="43"/>
  <c r="D17" i="43"/>
  <c r="F39" i="43"/>
  <c r="I17" i="43"/>
  <c r="F35" i="43"/>
  <c r="J17" i="43"/>
  <c r="U17" i="39"/>
  <c r="S14" i="35"/>
  <c r="U43" i="21"/>
  <c r="U10" i="21"/>
  <c r="G9" i="1"/>
  <c r="F48" i="9"/>
  <c r="O52" i="9" s="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86" i="3"/>
  <c r="C40" i="11"/>
  <c r="AZ223" i="3"/>
  <c r="AZ235" i="3"/>
  <c r="AZ240" i="3"/>
  <c r="AZ251" i="3"/>
  <c r="AZ256" i="3"/>
  <c r="AZ268" i="3"/>
  <c r="AZ271" i="3"/>
  <c r="AZ296" i="3"/>
  <c r="AZ117" i="3"/>
  <c r="AZ29" i="3"/>
  <c r="AZ31" i="3"/>
  <c r="AZ33" i="3"/>
  <c r="AZ37" i="3"/>
  <c r="AZ42" i="3"/>
  <c r="AZ45" i="3"/>
  <c r="AZ66" i="3"/>
  <c r="AZ69" i="3"/>
  <c r="AZ82" i="3"/>
  <c r="AZ86" i="3"/>
  <c r="AZ102" i="3"/>
  <c r="H75" i="43"/>
  <c r="I20" i="43"/>
  <c r="F23" i="39"/>
  <c r="AA23" i="39" s="1"/>
  <c r="H27" i="36"/>
  <c r="U27" i="36" s="1"/>
  <c r="F27" i="36"/>
  <c r="AA27" i="36" s="1"/>
  <c r="H33" i="34"/>
  <c r="U33" i="34" s="1"/>
  <c r="F32" i="37"/>
  <c r="AA32" i="37" s="1"/>
  <c r="F20" i="36"/>
  <c r="AA20" i="36"/>
  <c r="J33" i="34"/>
  <c r="AC33" i="34"/>
  <c r="H23" i="39"/>
  <c r="U23" i="39" s="1"/>
  <c r="D48" i="9"/>
  <c r="M52" i="9" s="1"/>
  <c r="H86" i="43"/>
  <c r="H87" i="43"/>
  <c r="K9" i="1"/>
  <c r="M9" i="1" s="1"/>
  <c r="AE9" i="1"/>
  <c r="D93" i="9"/>
  <c r="G29" i="6"/>
  <c r="G30" i="6" s="1"/>
  <c r="G31" i="6" s="1"/>
  <c r="AB34" i="36"/>
  <c r="U34" i="36"/>
  <c r="AB33" i="36"/>
  <c r="U33" i="36"/>
  <c r="AC12" i="39"/>
  <c r="AZ433" i="3"/>
  <c r="W12" i="33"/>
  <c r="AC12" i="33"/>
  <c r="AA32" i="36"/>
  <c r="S32" i="36"/>
  <c r="AZ441" i="3"/>
  <c r="BL14" i="3"/>
  <c r="AZ266" i="3"/>
  <c r="U30" i="33"/>
  <c r="AC13" i="34"/>
  <c r="AA47" i="34"/>
  <c r="W28" i="37"/>
  <c r="S19" i="39"/>
  <c r="F12" i="33"/>
  <c r="H12" i="39"/>
  <c r="AB12" i="39" s="1"/>
  <c r="F39" i="40"/>
  <c r="BA14" i="3"/>
  <c r="AZ367" i="3"/>
  <c r="AZ224" i="3"/>
  <c r="AZ238" i="3"/>
  <c r="AZ254" i="3"/>
  <c r="AZ297" i="3"/>
  <c r="AZ149" i="3"/>
  <c r="AZ173" i="3"/>
  <c r="AZ189"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AR9" i="1" s="1"/>
  <c r="R9" i="1"/>
  <c r="J51" i="67"/>
  <c r="C42" i="1"/>
  <c r="H100" i="43"/>
  <c r="C30" i="66"/>
  <c r="E26" i="66" s="1"/>
  <c r="AC34" i="33"/>
  <c r="B41" i="1"/>
  <c r="F53" i="9" s="1"/>
  <c r="J100" i="43"/>
  <c r="AB37" i="40"/>
  <c r="S35" i="40"/>
  <c r="U35" i="40"/>
  <c r="AC36" i="40"/>
  <c r="AA32" i="40"/>
  <c r="S17" i="40"/>
  <c r="S23" i="40"/>
  <c r="AC17" i="40"/>
  <c r="AC15" i="40"/>
  <c r="AB27" i="40"/>
  <c r="S30" i="40"/>
  <c r="AA19" i="40"/>
  <c r="S28" i="40"/>
  <c r="U21" i="40"/>
  <c r="AB19" i="40"/>
  <c r="W39" i="39"/>
  <c r="S37" i="39"/>
  <c r="U35" i="39"/>
  <c r="F32" i="39"/>
  <c r="U25" i="39"/>
  <c r="J21" i="39"/>
  <c r="AC21" i="39" s="1"/>
  <c r="F21" i="39"/>
  <c r="AA21" i="39" s="1"/>
  <c r="G95" i="39"/>
  <c r="H21" i="39"/>
  <c r="AB21" i="39" s="1"/>
  <c r="W19" i="39"/>
  <c r="U19" i="39"/>
  <c r="S17" i="39"/>
  <c r="U14"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AB23" i="33" s="1"/>
  <c r="F81" i="33"/>
  <c r="F19" i="33"/>
  <c r="S19" i="33" s="1"/>
  <c r="W19" i="33"/>
  <c r="J17" i="33"/>
  <c r="W17" i="33" s="1"/>
  <c r="F79" i="33"/>
  <c r="S15" i="33"/>
  <c r="W15" i="33"/>
  <c r="U9" i="33"/>
  <c r="J10" i="33"/>
  <c r="AC10" i="33" s="1"/>
  <c r="H10" i="33"/>
  <c r="AA10" i="33"/>
  <c r="AC11" i="33"/>
  <c r="AB14" i="33"/>
  <c r="W43" i="21"/>
  <c r="W41" i="21"/>
  <c r="AA43" i="21"/>
  <c r="E85" i="21"/>
  <c r="F23" i="21" s="1"/>
  <c r="S23" i="21" s="1"/>
  <c r="AB8" i="21"/>
  <c r="S8" i="21"/>
  <c r="M3" i="43"/>
  <c r="M1" i="43"/>
  <c r="N8" i="43"/>
  <c r="C18" i="9"/>
  <c r="D18" i="9" s="1"/>
  <c r="F34" i="67"/>
  <c r="F62" i="67" s="1"/>
  <c r="M20" i="67"/>
  <c r="F34" i="15"/>
  <c r="F62" i="15"/>
  <c r="BL17" i="3"/>
  <c r="AZ17" i="3" s="1"/>
  <c r="BL13" i="3"/>
  <c r="J56" i="9"/>
  <c r="J57" i="9" s="1"/>
  <c r="J59" i="9" s="1"/>
  <c r="J61" i="9" s="1"/>
  <c r="A24" i="51"/>
  <c r="B18" i="72" s="1"/>
  <c r="U29" i="34"/>
  <c r="G1" i="68"/>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C7" i="21"/>
  <c r="C7" i="40"/>
  <c r="C63" i="40" s="1"/>
  <c r="M47" i="9"/>
  <c r="G19" i="43"/>
  <c r="O19" i="43" s="1"/>
  <c r="C19" i="43" s="1"/>
  <c r="T35" i="4"/>
  <c r="A19" i="51" s="1"/>
  <c r="B14" i="72" s="1"/>
  <c r="C59" i="34"/>
  <c r="D59" i="34" s="1"/>
  <c r="E59" i="34" s="1"/>
  <c r="F59" i="34" s="1"/>
  <c r="G59" i="34" s="1"/>
  <c r="H59" i="34" s="1"/>
  <c r="I59" i="34" s="1"/>
  <c r="J59" i="34" s="1"/>
  <c r="A4" i="51"/>
  <c r="B6" i="72" s="1"/>
  <c r="H66" i="43"/>
  <c r="H65" i="43"/>
  <c r="H64" i="43"/>
  <c r="H63" i="43"/>
  <c r="H55" i="43"/>
  <c r="H56" i="43"/>
  <c r="H72" i="43"/>
  <c r="L20" i="6"/>
  <c r="B6" i="1"/>
  <c r="E6" i="1" s="1"/>
  <c r="S8" i="1"/>
  <c r="AQ8" i="1" s="1"/>
  <c r="K11" i="1"/>
  <c r="M11" i="1" s="1"/>
  <c r="O11" i="1" s="1"/>
  <c r="P11" i="1" s="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A13" i="39"/>
  <c r="AA14" i="39"/>
  <c r="U43" i="39"/>
  <c r="AB11" i="39"/>
  <c r="U11" i="39"/>
  <c r="AC17" i="39"/>
  <c r="S23"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7" i="21"/>
  <c r="AA37" i="21" s="1"/>
  <c r="U40" i="21"/>
  <c r="U31" i="21"/>
  <c r="U13" i="21"/>
  <c r="W8" i="21"/>
  <c r="AB37" i="21"/>
  <c r="J37" i="21"/>
  <c r="W37" i="21" s="1"/>
  <c r="H45" i="21"/>
  <c r="U45" i="21" s="1"/>
  <c r="F13" i="21"/>
  <c r="AA13" i="21" s="1"/>
  <c r="AC38" i="21"/>
  <c r="H32" i="21"/>
  <c r="H9" i="21"/>
  <c r="AB9" i="21" s="1"/>
  <c r="J9" i="21"/>
  <c r="J32" i="21"/>
  <c r="W32" i="21" s="1"/>
  <c r="F32" i="21"/>
  <c r="S19" i="21"/>
  <c r="S9" i="21"/>
  <c r="AA9" i="21"/>
  <c r="K141" i="21"/>
  <c r="K144" i="21"/>
  <c r="K143" i="21"/>
  <c r="U27" i="21"/>
  <c r="AB25" i="21"/>
  <c r="AB44" i="21"/>
  <c r="AA30" i="21"/>
  <c r="W42" i="21"/>
  <c r="F10" i="21"/>
  <c r="AA10" i="21" s="1"/>
  <c r="K145" i="21"/>
  <c r="W25" i="21"/>
  <c r="S27" i="21"/>
  <c r="AC26" i="21"/>
  <c r="S28" i="21"/>
  <c r="W12" i="21"/>
  <c r="W30" i="40"/>
  <c r="C15" i="40"/>
  <c r="C17" i="40"/>
  <c r="C23" i="40"/>
  <c r="C21" i="40"/>
  <c r="U30" i="40"/>
  <c r="B54" i="43"/>
  <c r="B65" i="43"/>
  <c r="B49" i="43"/>
  <c r="B52" i="43"/>
  <c r="B56" i="43"/>
  <c r="B60" i="43"/>
  <c r="B63" i="43"/>
  <c r="B67" i="43"/>
  <c r="D23" i="15"/>
  <c r="F30" i="68"/>
  <c r="C30" i="68" s="1"/>
  <c r="F30" i="11"/>
  <c r="C48" i="11" s="1"/>
  <c r="F28" i="67"/>
  <c r="F31" i="12"/>
  <c r="F52" i="9"/>
  <c r="M18" i="67"/>
  <c r="F32" i="67"/>
  <c r="F60" i="67" s="1"/>
  <c r="F30" i="69"/>
  <c r="F32" i="15"/>
  <c r="F60" i="15" s="1"/>
  <c r="M18" i="15"/>
  <c r="F28" i="15"/>
  <c r="AA39" i="40"/>
  <c r="S39" i="40"/>
  <c r="S12" i="33"/>
  <c r="AA12" i="33"/>
  <c r="D68" i="9"/>
  <c r="F54" i="9"/>
  <c r="J32" i="39"/>
  <c r="AC32" i="39" s="1"/>
  <c r="H32" i="39"/>
  <c r="AB32" i="39" s="1"/>
  <c r="AA32" i="39"/>
  <c r="S32" i="39"/>
  <c r="U21" i="39"/>
  <c r="S21" i="39"/>
  <c r="S26" i="35"/>
  <c r="U9" i="35"/>
  <c r="AB9" i="35"/>
  <c r="AA9" i="35"/>
  <c r="S9" i="35"/>
  <c r="AC26" i="35"/>
  <c r="W26" i="35"/>
  <c r="AB26" i="35"/>
  <c r="U26" i="35"/>
  <c r="AC17" i="37"/>
  <c r="S17" i="37"/>
  <c r="J19" i="37"/>
  <c r="AC19" i="37" s="1"/>
  <c r="G75" i="37"/>
  <c r="S19" i="37"/>
  <c r="AA19" i="37"/>
  <c r="AA23" i="37"/>
  <c r="J23" i="37"/>
  <c r="AC23" i="37" s="1"/>
  <c r="G79" i="37"/>
  <c r="J10" i="37"/>
  <c r="AC10" i="37" s="1"/>
  <c r="G63" i="37"/>
  <c r="H63" i="37" s="1"/>
  <c r="I63" i="37" s="1"/>
  <c r="J63" i="37" s="1"/>
  <c r="K63" i="37" s="1"/>
  <c r="L63" i="37" s="1"/>
  <c r="M63" i="37" s="1"/>
  <c r="H11" i="37"/>
  <c r="U11" i="37" s="1"/>
  <c r="AB10" i="37"/>
  <c r="U10" i="37"/>
  <c r="H11" i="34"/>
  <c r="U11" i="34" s="1"/>
  <c r="AB10" i="34"/>
  <c r="U10" i="34"/>
  <c r="J10" i="34"/>
  <c r="AC10" i="34" s="1"/>
  <c r="I67" i="34"/>
  <c r="AB41" i="33"/>
  <c r="U41" i="33"/>
  <c r="W35" i="33"/>
  <c r="AC35" i="33"/>
  <c r="H111" i="33"/>
  <c r="I111" i="33" s="1"/>
  <c r="J111" i="33" s="1"/>
  <c r="K111" i="33" s="1"/>
  <c r="L111" i="33" s="1"/>
  <c r="M111" i="33" s="1"/>
  <c r="J36" i="33"/>
  <c r="AC36" i="33" s="1"/>
  <c r="H36" i="33"/>
  <c r="AB36" i="33" s="1"/>
  <c r="S36" i="33"/>
  <c r="AA36" i="33"/>
  <c r="AC32" i="33"/>
  <c r="W32" i="33"/>
  <c r="U27" i="33"/>
  <c r="AB27" i="33"/>
  <c r="J27" i="33"/>
  <c r="AC27" i="33" s="1"/>
  <c r="U25" i="33"/>
  <c r="AB25" i="33"/>
  <c r="S25" i="33"/>
  <c r="AA25" i="33"/>
  <c r="G87" i="33"/>
  <c r="H87" i="33"/>
  <c r="I87" i="33" s="1"/>
  <c r="J87" i="33" s="1"/>
  <c r="K87" i="33" s="1"/>
  <c r="L87" i="33" s="1"/>
  <c r="M87" i="33" s="1"/>
  <c r="J25" i="33"/>
  <c r="AC25" i="33" s="1"/>
  <c r="U23" i="33"/>
  <c r="F23" i="33"/>
  <c r="G85" i="33"/>
  <c r="AC23" i="33"/>
  <c r="W23" i="33"/>
  <c r="H19" i="33"/>
  <c r="U19" i="33" s="1"/>
  <c r="G81" i="33"/>
  <c r="G79" i="33"/>
  <c r="H17" i="33"/>
  <c r="F17" i="33"/>
  <c r="S17" i="33" s="1"/>
  <c r="AC17" i="33"/>
  <c r="U10" i="33"/>
  <c r="AB10" i="33"/>
  <c r="W10" i="33"/>
  <c r="AC37" i="21"/>
  <c r="S37" i="21"/>
  <c r="F85" i="21"/>
  <c r="G85" i="21" s="1"/>
  <c r="H23" i="21"/>
  <c r="U23" i="21" s="1"/>
  <c r="S13" i="21"/>
  <c r="AP7" i="1"/>
  <c r="AA32" i="21"/>
  <c r="S32" i="21"/>
  <c r="W9" i="21"/>
  <c r="AC9" i="21"/>
  <c r="AB32" i="21"/>
  <c r="U32" i="21"/>
  <c r="S10" i="21"/>
  <c r="E6" i="70"/>
  <c r="W19" i="37"/>
  <c r="W23" i="37"/>
  <c r="AB11" i="37"/>
  <c r="J11" i="37"/>
  <c r="AC11" i="37" s="1"/>
  <c r="W10" i="37"/>
  <c r="AB11" i="34"/>
  <c r="W10" i="34"/>
  <c r="J11" i="34"/>
  <c r="AC11" i="34" s="1"/>
  <c r="W36" i="33"/>
  <c r="U36" i="33"/>
  <c r="W27" i="33"/>
  <c r="AA23" i="33"/>
  <c r="S23" i="33"/>
  <c r="AB19" i="33"/>
  <c r="U17" i="33"/>
  <c r="AB17" i="33"/>
  <c r="W11" i="37"/>
  <c r="W11" i="34"/>
  <c r="R8" i="1"/>
  <c r="AE8" i="1"/>
  <c r="AE6" i="1"/>
  <c r="AG6" i="1"/>
  <c r="H109" i="9"/>
  <c r="H110" i="9" s="1"/>
  <c r="D18" i="53" s="1"/>
  <c r="B35" i="72" s="1"/>
  <c r="D124" i="9"/>
  <c r="H14" i="74" s="1"/>
  <c r="B7" i="74" s="1"/>
  <c r="D10" i="52"/>
  <c r="H112" i="9"/>
  <c r="D21" i="53" s="1"/>
  <c r="B39" i="72" s="1"/>
  <c r="H111" i="9"/>
  <c r="D126" i="9" s="1"/>
  <c r="I14" i="74" s="1"/>
  <c r="B8" i="74" s="1"/>
  <c r="D59" i="9"/>
  <c r="M55"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8" i="35"/>
  <c r="G48" i="35" s="1"/>
  <c r="AB9" i="71"/>
  <c r="X7" i="71"/>
  <c r="X6" i="71"/>
  <c r="AA7" i="71"/>
  <c r="AA6" i="71"/>
  <c r="X10" i="71"/>
  <c r="Y6" i="71"/>
  <c r="Z6" i="71" s="1"/>
  <c r="AB7" i="71"/>
  <c r="AB6" i="71"/>
  <c r="F8" i="71"/>
  <c r="F7" i="71" s="1"/>
  <c r="F6" i="71" s="1"/>
  <c r="F5" i="71" s="1"/>
  <c r="Y7" i="71"/>
  <c r="Z7" i="71" s="1"/>
  <c r="AB3" i="71"/>
  <c r="X3" i="71"/>
  <c r="E8" i="71"/>
  <c r="E7" i="71" s="1"/>
  <c r="AF3" i="71"/>
  <c r="P24" i="43"/>
  <c r="B66" i="40" s="1"/>
  <c r="G20" i="43"/>
  <c r="E41" i="43" s="1"/>
  <c r="C41" i="43" s="1"/>
  <c r="P25" i="43"/>
  <c r="F31" i="67"/>
  <c r="F31" i="15"/>
  <c r="D7" i="73"/>
  <c r="F40" i="67"/>
  <c r="E12" i="76"/>
  <c r="D2" i="33"/>
  <c r="D2" i="21"/>
  <c r="F37" i="15"/>
  <c r="AO10" i="1"/>
  <c r="F13" i="67"/>
  <c r="F8" i="67"/>
  <c r="M6" i="67"/>
  <c r="F11" i="81"/>
  <c r="F16" i="15"/>
  <c r="E11" i="76"/>
  <c r="L47" i="67"/>
  <c r="M6" i="15"/>
  <c r="M9" i="15"/>
  <c r="AO11" i="1"/>
  <c r="F3" i="73"/>
  <c r="AO6" i="1"/>
  <c r="M28" i="67"/>
  <c r="E8" i="76"/>
  <c r="B8" i="76"/>
  <c r="F38" i="67"/>
  <c r="F6" i="67"/>
  <c r="E7" i="76"/>
  <c r="F36" i="67"/>
  <c r="B9" i="76"/>
  <c r="F26" i="15"/>
  <c r="M23" i="15"/>
  <c r="F9" i="67"/>
  <c r="J15" i="67"/>
  <c r="F20" i="31"/>
  <c r="L47" i="15"/>
  <c r="D2" i="35"/>
  <c r="L48" i="67"/>
  <c r="F16" i="67"/>
  <c r="F34" i="80"/>
  <c r="M27" i="67"/>
  <c r="M28" i="15"/>
  <c r="M24" i="15"/>
  <c r="D5" i="73"/>
  <c r="C76" i="67"/>
  <c r="E2" i="68"/>
  <c r="F9" i="15"/>
  <c r="D2" i="36"/>
  <c r="D2" i="34"/>
  <c r="M9" i="67"/>
  <c r="F26" i="67"/>
  <c r="E10" i="76"/>
  <c r="F5" i="73"/>
  <c r="F7" i="73"/>
  <c r="D3" i="73"/>
  <c r="D2" i="37"/>
  <c r="AO13" i="1"/>
  <c r="E9" i="76"/>
  <c r="M24" i="67"/>
  <c r="F13" i="15"/>
  <c r="M26" i="15"/>
  <c r="AO9" i="1"/>
  <c r="B13" i="76"/>
  <c r="E13" i="76"/>
  <c r="L48" i="15"/>
  <c r="F8" i="15"/>
  <c r="F37" i="67"/>
  <c r="M22" i="15"/>
  <c r="B11" i="76"/>
  <c r="M8" i="15"/>
  <c r="E2" i="69"/>
  <c r="AO8" i="1"/>
  <c r="B12" i="76"/>
  <c r="M27" i="15"/>
  <c r="F36" i="15"/>
  <c r="AO12" i="1"/>
  <c r="M23" i="67"/>
  <c r="B7" i="76"/>
  <c r="F6" i="15"/>
  <c r="F38" i="15"/>
  <c r="F42" i="15"/>
  <c r="F4" i="73"/>
  <c r="F6" i="73"/>
  <c r="F42" i="67"/>
  <c r="D4" i="73"/>
  <c r="M22" i="67"/>
  <c r="F40" i="15"/>
  <c r="B10" i="76"/>
  <c r="M8" i="67"/>
  <c r="M26" i="67"/>
  <c r="C76" i="15"/>
  <c r="J15" i="15"/>
  <c r="D125" i="9" l="1"/>
  <c r="D11" i="52" s="1"/>
  <c r="D16" i="53"/>
  <c r="B34" i="72" s="1"/>
  <c r="D120" i="9"/>
  <c r="G27" i="81"/>
  <c r="G25" i="81"/>
  <c r="G41" i="80"/>
  <c r="G22" i="80"/>
  <c r="G26" i="81"/>
  <c r="D22" i="15"/>
  <c r="G22" i="11"/>
  <c r="G26" i="12"/>
  <c r="G22" i="68"/>
  <c r="G22" i="69"/>
  <c r="E1" i="73"/>
  <c r="K1" i="73" s="1"/>
  <c r="T8" i="1"/>
  <c r="P22" i="43"/>
  <c r="D68" i="39"/>
  <c r="C58" i="21"/>
  <c r="D58" i="21" s="1"/>
  <c r="E58" i="21" s="1"/>
  <c r="F58" i="21" s="1"/>
  <c r="I7" i="21"/>
  <c r="E7" i="21"/>
  <c r="G7" i="21"/>
  <c r="C28" i="15"/>
  <c r="C77" i="82"/>
  <c r="C74" i="82" s="1"/>
  <c r="C24" i="81"/>
  <c r="C48" i="80"/>
  <c r="C30" i="80"/>
  <c r="K6" i="1"/>
  <c r="M6" i="1" s="1"/>
  <c r="O6" i="1" s="1"/>
  <c r="P6" i="1" s="1"/>
  <c r="AB45" i="21"/>
  <c r="AC45" i="21"/>
  <c r="AB46" i="21"/>
  <c r="S45" i="21"/>
  <c r="W44" i="21"/>
  <c r="AC40" i="21"/>
  <c r="AA41" i="21"/>
  <c r="S40" i="21"/>
  <c r="H35" i="21"/>
  <c r="AB35" i="21" s="1"/>
  <c r="AC34" i="21"/>
  <c r="S46" i="21"/>
  <c r="F35" i="21"/>
  <c r="J35" i="21"/>
  <c r="W35" i="21" s="1"/>
  <c r="AA38" i="21"/>
  <c r="AA36" i="21"/>
  <c r="AB36" i="21"/>
  <c r="U35" i="21"/>
  <c r="W30" i="21"/>
  <c r="W10" i="21"/>
  <c r="W14" i="21"/>
  <c r="AC14" i="21"/>
  <c r="W13" i="21"/>
  <c r="AA12" i="21"/>
  <c r="H14" i="21"/>
  <c r="F14" i="21"/>
  <c r="M18" i="82"/>
  <c r="B118" i="82" s="1"/>
  <c r="C7" i="81"/>
  <c r="AP6" i="1"/>
  <c r="AQ12" i="1"/>
  <c r="F50" i="80"/>
  <c r="C29" i="81"/>
  <c r="D28" i="81" s="1"/>
  <c r="A2" i="9"/>
  <c r="C51" i="10"/>
  <c r="A13" i="51" s="1"/>
  <c r="B11" i="72" s="1"/>
  <c r="A118" i="82"/>
  <c r="A2" i="82"/>
  <c r="D19" i="53"/>
  <c r="A15" i="62"/>
  <c r="B61" i="72" s="1"/>
  <c r="W13" i="39"/>
  <c r="AC13" i="39"/>
  <c r="AA12" i="39"/>
  <c r="W14" i="39"/>
  <c r="AC29" i="21"/>
  <c r="W29" i="21"/>
  <c r="F29" i="21"/>
  <c r="AA26" i="21"/>
  <c r="F31" i="21"/>
  <c r="J31" i="21"/>
  <c r="H29" i="21"/>
  <c r="G17" i="43"/>
  <c r="C16" i="43" s="1"/>
  <c r="C29" i="39"/>
  <c r="B66" i="43"/>
  <c r="C19" i="39"/>
  <c r="F43" i="39"/>
  <c r="J45" i="39"/>
  <c r="F45" i="39"/>
  <c r="W42" i="39"/>
  <c r="U42" i="39"/>
  <c r="S42" i="39"/>
  <c r="AB39" i="39"/>
  <c r="AA39" i="39"/>
  <c r="W40" i="39"/>
  <c r="S36" i="39"/>
  <c r="AA36" i="39"/>
  <c r="W34" i="39"/>
  <c r="J36" i="39"/>
  <c r="H36" i="39"/>
  <c r="U37" i="39"/>
  <c r="AB34" i="39"/>
  <c r="U9" i="39"/>
  <c r="S9" i="39"/>
  <c r="W9" i="39"/>
  <c r="G12" i="1"/>
  <c r="G10" i="1"/>
  <c r="G13" i="1"/>
  <c r="C48" i="68"/>
  <c r="C28" i="67"/>
  <c r="C48" i="69"/>
  <c r="T13" i="1"/>
  <c r="AQ9" i="1"/>
  <c r="AQ13" i="1"/>
  <c r="G1" i="69"/>
  <c r="K7" i="1"/>
  <c r="AR10" i="1"/>
  <c r="K1" i="12"/>
  <c r="T9" i="1"/>
  <c r="AR11" i="1"/>
  <c r="T11" i="1"/>
  <c r="T10" i="1"/>
  <c r="T12" i="1"/>
  <c r="E8" i="6"/>
  <c r="E11" i="6"/>
  <c r="E61" i="39" s="1"/>
  <c r="E14" i="6"/>
  <c r="E64" i="39" s="1"/>
  <c r="E15" i="6"/>
  <c r="E60" i="40" s="1"/>
  <c r="E10" i="6"/>
  <c r="BA13" i="3"/>
  <c r="AZ13" i="3" s="1"/>
  <c r="E12" i="6"/>
  <c r="E57" i="40" s="1"/>
  <c r="P10" i="1"/>
  <c r="H41" i="39"/>
  <c r="U41" i="39" s="1"/>
  <c r="F41" i="39"/>
  <c r="E22" i="49"/>
  <c r="AB41" i="39"/>
  <c r="AC41" i="39"/>
  <c r="E9" i="49"/>
  <c r="B5" i="49"/>
  <c r="K14" i="1"/>
  <c r="M14" i="1" s="1"/>
  <c r="O14" i="1" s="1"/>
  <c r="AC26" i="33"/>
  <c r="W26" i="33"/>
  <c r="W27" i="34"/>
  <c r="AC27" i="34"/>
  <c r="U23" i="35"/>
  <c r="AB23" i="35"/>
  <c r="W12" i="36"/>
  <c r="AC12" i="36"/>
  <c r="U27" i="37"/>
  <c r="AB27" i="37"/>
  <c r="AC23" i="39"/>
  <c r="W23" i="39"/>
  <c r="AC32" i="40"/>
  <c r="W32" i="40"/>
  <c r="AA38" i="40"/>
  <c r="S38" i="40"/>
  <c r="W27" i="21"/>
  <c r="AC27" i="21"/>
  <c r="AC26" i="37"/>
  <c r="W26" i="37"/>
  <c r="AC39" i="40"/>
  <c r="W39" i="40"/>
  <c r="S22" i="31"/>
  <c r="R22" i="31" s="1"/>
  <c r="B21" i="31" s="1"/>
  <c r="C20" i="43"/>
  <c r="AZ16" i="3"/>
  <c r="AZ327" i="3"/>
  <c r="BL586" i="3"/>
  <c r="AZ586" i="3" s="1"/>
  <c r="BL585" i="3"/>
  <c r="AZ585" i="3" s="1"/>
  <c r="F26" i="37"/>
  <c r="J38" i="40"/>
  <c r="H39" i="40"/>
  <c r="BA551" i="3"/>
  <c r="AZ551" i="3" s="1"/>
  <c r="BL550" i="3"/>
  <c r="BA550" i="3"/>
  <c r="AZ550" i="3" s="1"/>
  <c r="P23" i="43"/>
  <c r="B71" i="39" s="1"/>
  <c r="P21" i="43"/>
  <c r="C30" i="69"/>
  <c r="D17" i="53"/>
  <c r="B36" i="72" s="1"/>
  <c r="W25" i="33"/>
  <c r="C30" i="11"/>
  <c r="J23" i="21"/>
  <c r="W23" i="21" s="1"/>
  <c r="AA19" i="33"/>
  <c r="AA11" i="34"/>
  <c r="U12" i="39"/>
  <c r="AZ14" i="3"/>
  <c r="H82" i="43"/>
  <c r="H50" i="43"/>
  <c r="AC11" i="39"/>
  <c r="AZ362" i="3"/>
  <c r="AZ334" i="3"/>
  <c r="AZ306" i="3"/>
  <c r="AZ351" i="3"/>
  <c r="AZ329" i="3"/>
  <c r="AZ380" i="3"/>
  <c r="AZ360" i="3"/>
  <c r="S14" i="40"/>
  <c r="AA25" i="21"/>
  <c r="AC12" i="37"/>
  <c r="W47" i="34"/>
  <c r="AB28" i="37"/>
  <c r="U14" i="40"/>
  <c r="AA41" i="34"/>
  <c r="AZ523" i="3"/>
  <c r="AZ531" i="3"/>
  <c r="AZ539" i="3"/>
  <c r="AZ547" i="3"/>
  <c r="AZ553" i="3"/>
  <c r="AZ567" i="3"/>
  <c r="AZ575" i="3"/>
  <c r="AZ505" i="3"/>
  <c r="AZ525" i="3"/>
  <c r="AZ529" i="3"/>
  <c r="AZ533" i="3"/>
  <c r="AZ537" i="3"/>
  <c r="AZ541" i="3"/>
  <c r="AZ545" i="3"/>
  <c r="AZ555" i="3"/>
  <c r="AZ565" i="3"/>
  <c r="AZ569" i="3"/>
  <c r="AZ573" i="3"/>
  <c r="AZ577" i="3"/>
  <c r="AZ510" i="3"/>
  <c r="AZ540" i="3"/>
  <c r="AZ584" i="3"/>
  <c r="AZ524" i="3"/>
  <c r="AZ528" i="3"/>
  <c r="AZ516" i="3"/>
  <c r="AZ526" i="3"/>
  <c r="W11" i="36"/>
  <c r="W31" i="34"/>
  <c r="U31" i="34"/>
  <c r="F27" i="39"/>
  <c r="H27" i="39"/>
  <c r="U27" i="39" s="1"/>
  <c r="J23" i="35"/>
  <c r="G574" i="3"/>
  <c r="G558" i="3"/>
  <c r="G542" i="3"/>
  <c r="G14" i="3"/>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AZ435" i="3"/>
  <c r="AZ443" i="3"/>
  <c r="BA430" i="3"/>
  <c r="AZ430" i="3" s="1"/>
  <c r="G433" i="3"/>
  <c r="G434" i="3"/>
  <c r="BL437" i="3"/>
  <c r="AZ437" i="3" s="1"/>
  <c r="G439" i="3"/>
  <c r="BL439"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BA133" i="3"/>
  <c r="AZ133" i="3" s="1"/>
  <c r="G136" i="3"/>
  <c r="BL138" i="3"/>
  <c r="AZ138" i="3" s="1"/>
  <c r="BA140" i="3"/>
  <c r="AZ140" i="3" s="1"/>
  <c r="BL141" i="3"/>
  <c r="G144" i="3"/>
  <c r="BL146" i="3"/>
  <c r="AZ146" i="3" s="1"/>
  <c r="BA148" i="3"/>
  <c r="AZ148" i="3" s="1"/>
  <c r="G150" i="3"/>
  <c r="G151" i="3"/>
  <c r="G154" i="3"/>
  <c r="G155" i="3"/>
  <c r="BL157" i="3"/>
  <c r="AZ157" i="3" s="1"/>
  <c r="G160" i="3"/>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G82" i="3"/>
  <c r="G83" i="3"/>
  <c r="G84" i="3"/>
  <c r="G85" i="3"/>
  <c r="G86" i="3"/>
  <c r="G87" i="3"/>
  <c r="B13" i="1"/>
  <c r="E13" i="1" s="1"/>
  <c r="K13" i="1"/>
  <c r="K108" i="43"/>
  <c r="K100" i="43"/>
  <c r="AB21" i="33"/>
  <c r="P53" i="71"/>
  <c r="C31" i="71"/>
  <c r="D30" i="71"/>
  <c r="B21" i="71"/>
  <c r="B22" i="71" s="1"/>
  <c r="B23" i="71" s="1"/>
  <c r="S23" i="71" s="1"/>
  <c r="Y17" i="71"/>
  <c r="Z17" i="71" s="1"/>
  <c r="Y16" i="71"/>
  <c r="Z16" i="71" s="1"/>
  <c r="AB17" i="71"/>
  <c r="AB13" i="71"/>
  <c r="Y18" i="71"/>
  <c r="Z18" i="71" s="1"/>
  <c r="AB18" i="71"/>
  <c r="Y21" i="71"/>
  <c r="Z21" i="71" s="1"/>
  <c r="AB21" i="71"/>
  <c r="Y22" i="71"/>
  <c r="Z22" i="71" s="1"/>
  <c r="AB22" i="71"/>
  <c r="X22" i="71"/>
  <c r="X23" i="71"/>
  <c r="Y25" i="71"/>
  <c r="Z25" i="71" s="1"/>
  <c r="C26" i="7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I10" i="66"/>
  <c r="AA25" i="40"/>
  <c r="S25" i="40"/>
  <c r="O53" i="71"/>
  <c r="O52" i="71"/>
  <c r="E15" i="71"/>
  <c r="AA3" i="71"/>
  <c r="AA13" i="71"/>
  <c r="AA15" i="71"/>
  <c r="C15" i="71"/>
  <c r="Y12" i="71"/>
  <c r="Z12" i="71" s="1"/>
  <c r="Y14" i="71"/>
  <c r="Z14" i="71" s="1"/>
  <c r="X16" i="71"/>
  <c r="X13" i="71"/>
  <c r="X15" i="71"/>
  <c r="AA20" i="71"/>
  <c r="AA17" i="71"/>
  <c r="AA18" i="71"/>
  <c r="AA19" i="71"/>
  <c r="AB12" i="71"/>
  <c r="F18" i="71"/>
  <c r="F19" i="71" s="1"/>
  <c r="V19" i="71" s="1"/>
  <c r="F22" i="71"/>
  <c r="F23" i="71" s="1"/>
  <c r="V23" i="71" s="1"/>
  <c r="AF10" i="43"/>
  <c r="V11" i="71"/>
  <c r="AR8" i="1"/>
  <c r="AA23" i="21"/>
  <c r="AC19" i="21"/>
  <c r="H19" i="21"/>
  <c r="F79" i="21"/>
  <c r="G79" i="21" s="1"/>
  <c r="H17" i="21"/>
  <c r="F17" i="21"/>
  <c r="J17" i="21"/>
  <c r="F15" i="21"/>
  <c r="F77" i="21"/>
  <c r="G77" i="21" s="1"/>
  <c r="H15" i="21"/>
  <c r="U15" i="21" s="1"/>
  <c r="J15" i="21"/>
  <c r="F69" i="21"/>
  <c r="F11" i="21"/>
  <c r="S11" i="21" s="1"/>
  <c r="B14" i="49"/>
  <c r="E6" i="49"/>
  <c r="E14" i="49"/>
  <c r="B7" i="49"/>
  <c r="C4" i="4" s="1"/>
  <c r="B4" i="62" s="1"/>
  <c r="B71" i="72" s="1"/>
  <c r="S42" i="21"/>
  <c r="E13" i="49"/>
  <c r="E4" i="49"/>
  <c r="E5" i="49"/>
  <c r="E11" i="49"/>
  <c r="B4" i="49"/>
  <c r="E10" i="49"/>
  <c r="B15" i="49"/>
  <c r="W39" i="21"/>
  <c r="S39" i="21"/>
  <c r="AB39" i="21"/>
  <c r="AB38" i="21"/>
  <c r="B22" i="49"/>
  <c r="E15" i="49"/>
  <c r="B16" i="49"/>
  <c r="B11" i="49"/>
  <c r="E21" i="49"/>
  <c r="B8" i="49"/>
  <c r="E8" i="49"/>
  <c r="B10" i="49"/>
  <c r="E16" i="49"/>
  <c r="B9" i="49"/>
  <c r="B13" i="49"/>
  <c r="E4" i="4" s="1"/>
  <c r="B6" i="49"/>
  <c r="E7" i="49"/>
  <c r="W36" i="21"/>
  <c r="S34" i="21"/>
  <c r="AC32" i="21"/>
  <c r="AB23" i="21"/>
  <c r="AC23" i="21"/>
  <c r="AC21" i="21"/>
  <c r="U21" i="21"/>
  <c r="AB15" i="21"/>
  <c r="U9" i="21"/>
  <c r="U32" i="39"/>
  <c r="AB23" i="39"/>
  <c r="F105" i="39"/>
  <c r="G105" i="39" s="1"/>
  <c r="H105" i="39" s="1"/>
  <c r="I105" i="39" s="1"/>
  <c r="J105" i="39" s="1"/>
  <c r="K105" i="39" s="1"/>
  <c r="L105" i="39" s="1"/>
  <c r="M105" i="39" s="1"/>
  <c r="H31" i="39"/>
  <c r="F31" i="39"/>
  <c r="AA31" i="39" s="1"/>
  <c r="J31" i="39"/>
  <c r="F89" i="39"/>
  <c r="J15" i="39"/>
  <c r="W15" i="39" s="1"/>
  <c r="H15" i="39"/>
  <c r="W32" i="39"/>
  <c r="S31" i="39"/>
  <c r="W29" i="39"/>
  <c r="S29" i="39"/>
  <c r="AB27" i="39"/>
  <c r="S25" i="39"/>
  <c r="W21" i="39"/>
  <c r="AC15" i="39"/>
  <c r="S11" i="39"/>
  <c r="C92" i="9"/>
  <c r="C94" i="9"/>
  <c r="C24" i="12"/>
  <c r="C77" i="9"/>
  <c r="C74" i="9" s="1"/>
  <c r="C40" i="69"/>
  <c r="D22" i="67"/>
  <c r="E56" i="40"/>
  <c r="C36" i="69"/>
  <c r="E13" i="6"/>
  <c r="C65" i="40"/>
  <c r="D63" i="40"/>
  <c r="D58" i="33"/>
  <c r="E58" i="33" s="1"/>
  <c r="F58" i="33" s="1"/>
  <c r="G58" i="33" s="1"/>
  <c r="H58" i="33" s="1"/>
  <c r="I58" i="33" s="1"/>
  <c r="J58" i="33" s="1"/>
  <c r="K58" i="33" s="1"/>
  <c r="L58" i="33" s="1"/>
  <c r="M58" i="33" s="1"/>
  <c r="N58" i="33" s="1"/>
  <c r="O58" i="33" s="1"/>
  <c r="E20" i="43"/>
  <c r="B11" i="70"/>
  <c r="F66" i="67"/>
  <c r="F65" i="15"/>
  <c r="C27" i="15"/>
  <c r="F65" i="67"/>
  <c r="B9" i="70"/>
  <c r="N59" i="15"/>
  <c r="M59" i="15"/>
  <c r="L59" i="15" s="1"/>
  <c r="L58" i="15"/>
  <c r="I1" i="73"/>
  <c r="B39" i="1" s="1"/>
  <c r="B10" i="70"/>
  <c r="M59" i="67"/>
  <c r="L59" i="67" s="1"/>
  <c r="L58" i="67"/>
  <c r="N59" i="67"/>
  <c r="B8" i="70"/>
  <c r="F51" i="67"/>
  <c r="F66" i="15"/>
  <c r="Q71" i="67"/>
  <c r="B13" i="70"/>
  <c r="Q71" i="15"/>
  <c r="F64" i="15"/>
  <c r="F70" i="67"/>
  <c r="F68" i="67"/>
  <c r="F51" i="15"/>
  <c r="B12" i="70"/>
  <c r="F64" i="67"/>
  <c r="B6" i="70"/>
  <c r="B20" i="31"/>
  <c r="F68" i="15"/>
  <c r="C27" i="67"/>
  <c r="J57" i="67"/>
  <c r="J55" i="67" s="1"/>
  <c r="J58" i="67" s="1"/>
  <c r="Q50" i="67" s="1"/>
  <c r="L56" i="67"/>
  <c r="I54" i="67"/>
  <c r="J57" i="15"/>
  <c r="J55" i="15" s="1"/>
  <c r="J58" i="15" s="1"/>
  <c r="Q50" i="15" s="1"/>
  <c r="I54" i="15"/>
  <c r="C5" i="43"/>
  <c r="D5" i="43"/>
  <c r="E6" i="71"/>
  <c r="E5" i="71" s="1"/>
  <c r="V7" i="71"/>
  <c r="K59" i="34"/>
  <c r="L59" i="34" s="1"/>
  <c r="M59" i="34" s="1"/>
  <c r="N59" i="34" s="1"/>
  <c r="O59" i="34" s="1"/>
  <c r="H7" i="34"/>
  <c r="G58" i="21"/>
  <c r="H58" i="21" s="1"/>
  <c r="I58" i="21" s="1"/>
  <c r="J58" i="21" s="1"/>
  <c r="K58" i="21" s="1"/>
  <c r="L58" i="21" s="1"/>
  <c r="M58" i="21" s="1"/>
  <c r="N58" i="21" s="1"/>
  <c r="O58" i="21" s="1"/>
  <c r="J7" i="21"/>
  <c r="F7" i="21"/>
  <c r="F46" i="36"/>
  <c r="H48" i="35"/>
  <c r="I52" i="37"/>
  <c r="D12" i="52"/>
  <c r="D127" i="9"/>
  <c r="D13" i="52" s="1"/>
  <c r="AA17" i="33"/>
  <c r="P14" i="1"/>
  <c r="D9" i="53"/>
  <c r="B25" i="72" s="1"/>
  <c r="B24" i="72"/>
  <c r="O9" i="1"/>
  <c r="E29" i="6"/>
  <c r="K15" i="1" s="1"/>
  <c r="F30" i="6"/>
  <c r="AZ503" i="3"/>
  <c r="AZ583" i="3"/>
  <c r="AZ558" i="3"/>
  <c r="U11" i="36"/>
  <c r="AB11" i="36"/>
  <c r="U26" i="33"/>
  <c r="AB26" i="33"/>
  <c r="E59" i="40"/>
  <c r="D9" i="69"/>
  <c r="U44" i="34"/>
  <c r="AB27" i="36"/>
  <c r="AA27" i="40"/>
  <c r="AA34" i="33"/>
  <c r="AA39" i="34"/>
  <c r="AZ587" i="3"/>
  <c r="AZ504" i="3"/>
  <c r="AZ534" i="3"/>
  <c r="AZ542" i="3"/>
  <c r="AZ556" i="3"/>
  <c r="U46" i="33"/>
  <c r="S44" i="33"/>
  <c r="AA44" i="33"/>
  <c r="S14" i="33"/>
  <c r="AA14" i="33"/>
  <c r="AA11" i="36"/>
  <c r="S11" i="36"/>
  <c r="AC11" i="35"/>
  <c r="W11" i="35"/>
  <c r="W30" i="34"/>
  <c r="AC30" i="34"/>
  <c r="AA45" i="33"/>
  <c r="S45" i="33"/>
  <c r="AC29" i="33"/>
  <c r="W29" i="33"/>
  <c r="J9" i="34"/>
  <c r="H9" i="34"/>
  <c r="J34" i="35"/>
  <c r="H34" i="35"/>
  <c r="F34" i="35"/>
  <c r="AZ424" i="3"/>
  <c r="AZ429" i="3"/>
  <c r="AZ439" i="3"/>
  <c r="U30" i="35"/>
  <c r="U8" i="35"/>
  <c r="AB12" i="35"/>
  <c r="S40" i="39"/>
  <c r="C25" i="39"/>
  <c r="U40" i="40"/>
  <c r="U34" i="40"/>
  <c r="W8" i="40"/>
  <c r="S40" i="33"/>
  <c r="W28" i="35"/>
  <c r="U9" i="36"/>
  <c r="U14" i="37"/>
  <c r="W31" i="37"/>
  <c r="W25" i="37"/>
  <c r="J44" i="39"/>
  <c r="F9" i="34"/>
  <c r="J12" i="34"/>
  <c r="F12" i="35"/>
  <c r="H36" i="35"/>
  <c r="J36" i="35"/>
  <c r="F25" i="37"/>
  <c r="W31" i="35"/>
  <c r="AC31" i="35"/>
  <c r="G551" i="3"/>
  <c r="BL548" i="3"/>
  <c r="BL5" i="3" s="1"/>
  <c r="AZ398" i="3"/>
  <c r="AZ405" i="3"/>
  <c r="AZ407" i="3"/>
  <c r="AZ410" i="3"/>
  <c r="AZ415" i="3"/>
  <c r="AZ420" i="3"/>
  <c r="AZ426" i="3"/>
  <c r="AZ448" i="3"/>
  <c r="AZ452" i="3"/>
  <c r="AZ461" i="3"/>
  <c r="AZ463" i="3"/>
  <c r="AZ468" i="3"/>
  <c r="AZ470" i="3"/>
  <c r="AZ479" i="3"/>
  <c r="AZ485" i="3"/>
  <c r="AZ385" i="3"/>
  <c r="AZ210" i="3"/>
  <c r="AZ225" i="3"/>
  <c r="AZ239" i="3"/>
  <c r="AZ255" i="3"/>
  <c r="AZ270" i="3"/>
  <c r="AZ274" i="3"/>
  <c r="AZ277" i="3"/>
  <c r="AZ298" i="3"/>
  <c r="AZ301" i="3"/>
  <c r="AZ122" i="3"/>
  <c r="AZ125" i="3"/>
  <c r="AZ141" i="3"/>
  <c r="AZ205" i="3"/>
  <c r="AZ18" i="3"/>
  <c r="AZ23" i="3"/>
  <c r="AZ27" i="3"/>
  <c r="AZ52" i="3"/>
  <c r="AZ56" i="3"/>
  <c r="AZ60" i="3"/>
  <c r="AZ73" i="3"/>
  <c r="AZ78" i="3"/>
  <c r="AZ91" i="3"/>
  <c r="AZ98" i="3"/>
  <c r="AZ104" i="3"/>
  <c r="AZ108" i="3"/>
  <c r="M100" i="43"/>
  <c r="I100" i="43"/>
  <c r="E100" i="43"/>
  <c r="D100" i="43"/>
  <c r="D23" i="67"/>
  <c r="C42" i="71"/>
  <c r="D41" i="71"/>
  <c r="J53" i="15"/>
  <c r="C21" i="68"/>
  <c r="C40" i="68"/>
  <c r="D31" i="71"/>
  <c r="T31" i="71"/>
  <c r="J53" i="67"/>
  <c r="AC12" i="43"/>
  <c r="AC10" i="43"/>
  <c r="AG12" i="43"/>
  <c r="AG10" i="43"/>
  <c r="Y11" i="71"/>
  <c r="Z11" i="71" s="1"/>
  <c r="AA10" i="71"/>
  <c r="X9" i="71"/>
  <c r="AA8" i="71"/>
  <c r="X5" i="71"/>
  <c r="Y8" i="71"/>
  <c r="Z8" i="71" s="1"/>
  <c r="Y5" i="71"/>
  <c r="Z5" i="71" s="1"/>
  <c r="AB5" i="71"/>
  <c r="AB14" i="71"/>
  <c r="S15" i="71"/>
  <c r="AA16" i="71"/>
  <c r="V55" i="71"/>
  <c r="F54" i="71"/>
  <c r="Z12" i="43"/>
  <c r="Z10" i="43"/>
  <c r="AD12" i="43"/>
  <c r="AD10" i="43"/>
  <c r="AH12" i="43"/>
  <c r="AH10" i="43"/>
  <c r="X11" i="71"/>
  <c r="Y9" i="71"/>
  <c r="Z9" i="71" s="1"/>
  <c r="AB10" i="71"/>
  <c r="AA5" i="71"/>
  <c r="AB8" i="71"/>
  <c r="AA9" i="71"/>
  <c r="X8" i="71"/>
  <c r="AA11" i="71"/>
  <c r="AB11" i="71"/>
  <c r="B11" i="71"/>
  <c r="C11" i="71"/>
  <c r="Y10" i="71"/>
  <c r="Z10" i="71" s="1"/>
  <c r="F59" i="15"/>
  <c r="M17" i="67"/>
  <c r="M17" i="15"/>
  <c r="F59" i="67"/>
  <c r="F7" i="15"/>
  <c r="G1" i="73"/>
  <c r="F43" i="15"/>
  <c r="D6" i="73"/>
  <c r="D9" i="68"/>
  <c r="M29" i="67"/>
  <c r="F7" i="67"/>
  <c r="M29" i="15"/>
  <c r="D19" i="12"/>
  <c r="F43" i="67"/>
  <c r="D121" i="9" l="1"/>
  <c r="D7" i="52" s="1"/>
  <c r="D6" i="52"/>
  <c r="K120" i="9"/>
  <c r="A18" i="62" s="1"/>
  <c r="B64" i="72" s="1"/>
  <c r="E68" i="39"/>
  <c r="D70" i="39"/>
  <c r="H16" i="1"/>
  <c r="AC35" i="21"/>
  <c r="AA35" i="21"/>
  <c r="S35" i="21"/>
  <c r="S14" i="21"/>
  <c r="AA14" i="21"/>
  <c r="U14" i="21"/>
  <c r="AB14" i="21"/>
  <c r="F71" i="67"/>
  <c r="M7" i="67"/>
  <c r="J6" i="67" s="1"/>
  <c r="J18" i="67" s="1"/>
  <c r="F50" i="67"/>
  <c r="C49" i="67" s="1"/>
  <c r="C6" i="67"/>
  <c r="C32" i="67" s="1"/>
  <c r="C6" i="15"/>
  <c r="C32" i="15" s="1"/>
  <c r="F50" i="15"/>
  <c r="C49" i="15" s="1"/>
  <c r="M7" i="15"/>
  <c r="J6" i="15" s="1"/>
  <c r="F71" i="15"/>
  <c r="E62" i="39"/>
  <c r="D20" i="53"/>
  <c r="B40" i="72" s="1"/>
  <c r="B38" i="72"/>
  <c r="C19" i="12"/>
  <c r="AC31" i="21"/>
  <c r="W31" i="21"/>
  <c r="AB29" i="21"/>
  <c r="U29" i="21"/>
  <c r="AA31" i="21"/>
  <c r="S31" i="21"/>
  <c r="S29" i="21"/>
  <c r="AA29" i="21"/>
  <c r="C9" i="68"/>
  <c r="AC45" i="39"/>
  <c r="W45" i="39"/>
  <c r="S45" i="39"/>
  <c r="AA45" i="39"/>
  <c r="AA43" i="39"/>
  <c r="S43" i="39"/>
  <c r="W36" i="39"/>
  <c r="AC36" i="39"/>
  <c r="U36" i="39"/>
  <c r="AB36" i="39"/>
  <c r="H7" i="33"/>
  <c r="U7" i="33" s="1"/>
  <c r="M7" i="1"/>
  <c r="E16" i="6"/>
  <c r="E65" i="39"/>
  <c r="F27" i="6"/>
  <c r="F31" i="6" s="1"/>
  <c r="E51" i="40"/>
  <c r="E56" i="39"/>
  <c r="K16" i="1"/>
  <c r="G16" i="1"/>
  <c r="J10" i="40" s="1"/>
  <c r="AC10" i="40" s="1"/>
  <c r="Q16" i="1"/>
  <c r="S41" i="39"/>
  <c r="AA41" i="39"/>
  <c r="K4" i="4"/>
  <c r="B46" i="48" s="1"/>
  <c r="B4" i="72" s="1"/>
  <c r="AA11" i="21"/>
  <c r="I21" i="66"/>
  <c r="D1" i="66" s="1"/>
  <c r="E10" i="66" s="1"/>
  <c r="C34" i="69"/>
  <c r="M13" i="1"/>
  <c r="AZ487" i="3"/>
  <c r="AZ481" i="3"/>
  <c r="AZ454" i="3"/>
  <c r="AZ418" i="3"/>
  <c r="U39" i="40"/>
  <c r="AB39" i="40"/>
  <c r="AA26" i="37"/>
  <c r="S26" i="37"/>
  <c r="L19" i="6"/>
  <c r="L27" i="6" s="1"/>
  <c r="C14" i="71"/>
  <c r="T15" i="71"/>
  <c r="D15" i="71"/>
  <c r="U15" i="71" s="1"/>
  <c r="V15" i="71"/>
  <c r="E14" i="71"/>
  <c r="E13" i="71" s="1"/>
  <c r="C27" i="71"/>
  <c r="D26" i="71"/>
  <c r="AZ22" i="3"/>
  <c r="BA5" i="3"/>
  <c r="AC23" i="35"/>
  <c r="W23" i="35"/>
  <c r="AA27" i="39"/>
  <c r="S27" i="39"/>
  <c r="AC38" i="40"/>
  <c r="W38" i="40"/>
  <c r="B5" i="62"/>
  <c r="B73" i="72" s="1"/>
  <c r="AB19" i="21"/>
  <c r="U19" i="21"/>
  <c r="AC17" i="21"/>
  <c r="W17" i="21"/>
  <c r="AB17" i="21"/>
  <c r="U17" i="21"/>
  <c r="AA17" i="21"/>
  <c r="S17" i="21"/>
  <c r="W15" i="21"/>
  <c r="AC15" i="21"/>
  <c r="S15" i="21"/>
  <c r="AA15" i="21"/>
  <c r="G69" i="21"/>
  <c r="H69" i="21" s="1"/>
  <c r="I69" i="21" s="1"/>
  <c r="J69" i="21" s="1"/>
  <c r="K69" i="21" s="1"/>
  <c r="L69" i="21" s="1"/>
  <c r="M69" i="21" s="1"/>
  <c r="H11" i="21"/>
  <c r="J11" i="21"/>
  <c r="AC31" i="39"/>
  <c r="W31" i="39"/>
  <c r="AB31" i="39"/>
  <c r="U31" i="39"/>
  <c r="U15" i="39"/>
  <c r="AB15" i="39"/>
  <c r="F15" i="39"/>
  <c r="G89" i="39"/>
  <c r="P9" i="1"/>
  <c r="E58" i="40"/>
  <c r="E63" i="39"/>
  <c r="F10" i="40"/>
  <c r="S10" i="40" s="1"/>
  <c r="F7" i="34"/>
  <c r="F7" i="33"/>
  <c r="J7" i="33"/>
  <c r="E63" i="40"/>
  <c r="D65" i="40"/>
  <c r="AB7" i="33"/>
  <c r="T48" i="33" s="1"/>
  <c r="G48" i="33" s="1"/>
  <c r="G52" i="33" s="1"/>
  <c r="H52" i="33" s="1"/>
  <c r="B40" i="1"/>
  <c r="Q52" i="15"/>
  <c r="F1" i="15"/>
  <c r="C43" i="71"/>
  <c r="D42" i="71"/>
  <c r="B10" i="71"/>
  <c r="B9" i="71" s="1"/>
  <c r="B8" i="71" s="1"/>
  <c r="B7" i="71" s="1"/>
  <c r="S11" i="71"/>
  <c r="Q54" i="71"/>
  <c r="F53" i="71"/>
  <c r="Q52" i="67"/>
  <c r="F1" i="67"/>
  <c r="G5" i="3"/>
  <c r="B3" i="3" s="1"/>
  <c r="AC36" i="35"/>
  <c r="W36" i="35"/>
  <c r="S12" i="35"/>
  <c r="AA12" i="35"/>
  <c r="AA9" i="34"/>
  <c r="S9" i="34"/>
  <c r="AB34" i="35"/>
  <c r="U34" i="35"/>
  <c r="U9" i="34"/>
  <c r="AB9" i="34"/>
  <c r="AZ548" i="3"/>
  <c r="J52" i="37"/>
  <c r="I48" i="35"/>
  <c r="G46" i="36"/>
  <c r="AA7" i="21"/>
  <c r="S7" i="21"/>
  <c r="H7" i="21"/>
  <c r="AB7" i="34"/>
  <c r="T49" i="34" s="1"/>
  <c r="G49" i="34" s="1"/>
  <c r="U7" i="34"/>
  <c r="C39" i="43"/>
  <c r="C38" i="43"/>
  <c r="C36" i="43"/>
  <c r="C35" i="43"/>
  <c r="C37" i="43"/>
  <c r="C33" i="43"/>
  <c r="C34" i="43"/>
  <c r="Q73" i="67"/>
  <c r="Q60" i="67"/>
  <c r="Q73" i="15"/>
  <c r="Q60" i="15"/>
  <c r="C10" i="71"/>
  <c r="T11" i="71"/>
  <c r="D11" i="71"/>
  <c r="U11" i="71" s="1"/>
  <c r="AZ5" i="3"/>
  <c r="AA25" i="37"/>
  <c r="S25" i="37"/>
  <c r="AB36" i="35"/>
  <c r="U36" i="35"/>
  <c r="W12" i="34"/>
  <c r="AC12" i="34"/>
  <c r="W44" i="39"/>
  <c r="AC44" i="39"/>
  <c r="S34" i="35"/>
  <c r="AA34" i="35"/>
  <c r="AC34" i="35"/>
  <c r="W34" i="35"/>
  <c r="W9" i="34"/>
  <c r="AC9" i="34"/>
  <c r="C9" i="69"/>
  <c r="E30" i="6"/>
  <c r="W7" i="21"/>
  <c r="AC7" i="21"/>
  <c r="AA7" i="34"/>
  <c r="R49" i="34" s="1"/>
  <c r="S7" i="34"/>
  <c r="T8" i="43"/>
  <c r="V8" i="43" s="1"/>
  <c r="T13" i="43"/>
  <c r="V13" i="43" s="1"/>
  <c r="T16" i="43"/>
  <c r="V16" i="43" s="1"/>
  <c r="T15" i="43"/>
  <c r="V15" i="43" s="1"/>
  <c r="T9" i="43"/>
  <c r="V9" i="43" s="1"/>
  <c r="T12" i="43"/>
  <c r="V12" i="43" s="1"/>
  <c r="T10" i="43"/>
  <c r="V10" i="43" s="1"/>
  <c r="T11" i="43"/>
  <c r="V11" i="43" s="1"/>
  <c r="T14" i="43"/>
  <c r="V14" i="43" s="1"/>
  <c r="J7" i="34"/>
  <c r="L56" i="15"/>
  <c r="Q74" i="67"/>
  <c r="Q61" i="67"/>
  <c r="M11" i="15"/>
  <c r="F11" i="15"/>
  <c r="F11" i="67"/>
  <c r="M11" i="67"/>
  <c r="J10" i="67" s="1"/>
  <c r="Q61" i="15"/>
  <c r="Q74" i="15"/>
  <c r="M28" i="43"/>
  <c r="P28" i="43"/>
  <c r="N28" i="43"/>
  <c r="O28" i="43"/>
  <c r="C16" i="15"/>
  <c r="F27" i="68"/>
  <c r="C16" i="67"/>
  <c r="AE7" i="1"/>
  <c r="E70" i="39" l="1"/>
  <c r="F68" i="39"/>
  <c r="J5" i="67"/>
  <c r="J26" i="67" s="1"/>
  <c r="F22" i="80"/>
  <c r="C24" i="80" s="1"/>
  <c r="F25" i="81"/>
  <c r="C26" i="81" s="1"/>
  <c r="D25" i="81" s="1"/>
  <c r="C26" i="80"/>
  <c r="D22" i="80" s="1"/>
  <c r="C29" i="68"/>
  <c r="D27" i="68" s="1"/>
  <c r="O7" i="1"/>
  <c r="W10" i="40"/>
  <c r="H10" i="39"/>
  <c r="U10" i="39" s="1"/>
  <c r="F10" i="39"/>
  <c r="S10" i="39" s="1"/>
  <c r="H10" i="40"/>
  <c r="E66" i="39"/>
  <c r="J10" i="39"/>
  <c r="W10" i="39" s="1"/>
  <c r="E27" i="6"/>
  <c r="AC10" i="39"/>
  <c r="F27" i="11"/>
  <c r="C29" i="11" s="1"/>
  <c r="D27" i="11" s="1"/>
  <c r="F27" i="69"/>
  <c r="C47" i="69" s="1"/>
  <c r="D45" i="69" s="1"/>
  <c r="D27" i="71"/>
  <c r="T27" i="71"/>
  <c r="O13" i="1"/>
  <c r="M16" i="1"/>
  <c r="K21" i="6"/>
  <c r="M21" i="6" s="1"/>
  <c r="I21" i="6" s="1"/>
  <c r="S21" i="6" s="1"/>
  <c r="C13" i="71"/>
  <c r="D13" i="71" s="1"/>
  <c r="D14" i="71"/>
  <c r="C38" i="69"/>
  <c r="C35" i="69"/>
  <c r="W11" i="21"/>
  <c r="AC11" i="21"/>
  <c r="U11" i="21"/>
  <c r="AB11" i="21"/>
  <c r="AA15" i="39"/>
  <c r="S15" i="39"/>
  <c r="C47" i="68"/>
  <c r="D45" i="68" s="1"/>
  <c r="F50" i="69"/>
  <c r="F50" i="68"/>
  <c r="F50" i="11"/>
  <c r="AA10" i="40"/>
  <c r="W7" i="33"/>
  <c r="AC7" i="33"/>
  <c r="V48" i="33" s="1"/>
  <c r="I48" i="33" s="1"/>
  <c r="F63" i="40"/>
  <c r="E65" i="40"/>
  <c r="S7" i="33"/>
  <c r="AA7" i="33"/>
  <c r="R48" i="33" s="1"/>
  <c r="AC7" i="34"/>
  <c r="V49" i="34" s="1"/>
  <c r="I49" i="34" s="1"/>
  <c r="G54" i="34" s="1"/>
  <c r="H54" i="34" s="1"/>
  <c r="W7" i="34"/>
  <c r="E49" i="34"/>
  <c r="R50" i="34"/>
  <c r="C9" i="71"/>
  <c r="D10" i="71"/>
  <c r="E33" i="43"/>
  <c r="G33" i="43"/>
  <c r="I33" i="43" s="1"/>
  <c r="G35" i="43"/>
  <c r="I35" i="43" s="1"/>
  <c r="E35" i="43"/>
  <c r="E38" i="43"/>
  <c r="G38" i="43"/>
  <c r="I38" i="43" s="1"/>
  <c r="AB7" i="21"/>
  <c r="U7" i="21"/>
  <c r="Q53" i="71"/>
  <c r="Q52" i="71"/>
  <c r="C53" i="15"/>
  <c r="C48" i="15" s="1"/>
  <c r="C10" i="15"/>
  <c r="C5" i="15" s="1"/>
  <c r="C53" i="67"/>
  <c r="C48" i="67" s="1"/>
  <c r="C10" i="67"/>
  <c r="C5" i="67" s="1"/>
  <c r="E3" i="6"/>
  <c r="J18" i="15"/>
  <c r="J10" i="15"/>
  <c r="J5" i="15" s="1"/>
  <c r="E34" i="43"/>
  <c r="G34" i="43"/>
  <c r="I34" i="43" s="1"/>
  <c r="E37" i="43"/>
  <c r="G37" i="43"/>
  <c r="I37" i="43" s="1"/>
  <c r="G36" i="43"/>
  <c r="I36" i="43" s="1"/>
  <c r="E36" i="43"/>
  <c r="E39" i="43"/>
  <c r="G39" i="43"/>
  <c r="I39" i="43" s="1"/>
  <c r="G53" i="34"/>
  <c r="H53" i="34" s="1"/>
  <c r="H46" i="36"/>
  <c r="J48" i="35"/>
  <c r="K52" i="37"/>
  <c r="B6" i="71"/>
  <c r="B5" i="71" s="1"/>
  <c r="S7" i="71"/>
  <c r="D43" i="71"/>
  <c r="T43" i="71"/>
  <c r="F24" i="67"/>
  <c r="C24" i="67" s="1"/>
  <c r="F25" i="12"/>
  <c r="C26" i="12" s="1"/>
  <c r="D25" i="12" s="1"/>
  <c r="F24" i="15"/>
  <c r="C24" i="15" s="1"/>
  <c r="F22" i="69"/>
  <c r="F22" i="11"/>
  <c r="F22" i="68"/>
  <c r="F28" i="12"/>
  <c r="F41" i="15"/>
  <c r="F41" i="67"/>
  <c r="E31" i="6" l="1"/>
  <c r="J30" i="84"/>
  <c r="A3" i="3" s="1"/>
  <c r="E377" i="3" s="1"/>
  <c r="F69" i="15"/>
  <c r="F70" i="39"/>
  <c r="G68" i="39"/>
  <c r="J24" i="67"/>
  <c r="E548" i="3"/>
  <c r="E201" i="3"/>
  <c r="E460" i="3"/>
  <c r="E154" i="3"/>
  <c r="E294" i="3"/>
  <c r="E406" i="3"/>
  <c r="E171" i="3"/>
  <c r="E299" i="3"/>
  <c r="E97" i="3"/>
  <c r="Z6" i="3"/>
  <c r="E82" i="3"/>
  <c r="E479" i="3"/>
  <c r="E511" i="3"/>
  <c r="E30" i="3"/>
  <c r="P7" i="1"/>
  <c r="F69" i="67"/>
  <c r="J29" i="67"/>
  <c r="C29" i="12"/>
  <c r="D28" i="12" s="1"/>
  <c r="C44" i="80"/>
  <c r="D41" i="80" s="1"/>
  <c r="AA10" i="39"/>
  <c r="K25" i="6"/>
  <c r="M25" i="6" s="1"/>
  <c r="I25" i="6" s="1"/>
  <c r="S25" i="6" s="1"/>
  <c r="K24" i="6"/>
  <c r="M24" i="6" s="1"/>
  <c r="I24" i="6" s="1"/>
  <c r="S24" i="6" s="1"/>
  <c r="K23" i="6"/>
  <c r="M23" i="6" s="1"/>
  <c r="I23" i="6" s="1"/>
  <c r="S23" i="6" s="1"/>
  <c r="C47" i="11"/>
  <c r="D45" i="11" s="1"/>
  <c r="K19" i="6"/>
  <c r="S6" i="1" s="1"/>
  <c r="K22" i="6"/>
  <c r="M22" i="6" s="1"/>
  <c r="I22" i="6" s="1"/>
  <c r="S22" i="6" s="1"/>
  <c r="K26" i="6"/>
  <c r="M26" i="6" s="1"/>
  <c r="I26" i="6" s="1"/>
  <c r="S26" i="6" s="1"/>
  <c r="K20" i="6"/>
  <c r="AB10" i="39"/>
  <c r="U10" i="40"/>
  <c r="AB10" i="40"/>
  <c r="C29" i="69"/>
  <c r="D27" i="69" s="1"/>
  <c r="L16" i="1"/>
  <c r="N16" i="1"/>
  <c r="P13" i="1"/>
  <c r="O16" i="1"/>
  <c r="J38" i="39"/>
  <c r="F38" i="39"/>
  <c r="H38" i="39"/>
  <c r="F33" i="21"/>
  <c r="J33" i="21"/>
  <c r="H33" i="21"/>
  <c r="E48" i="33"/>
  <c r="R49" i="33"/>
  <c r="I52" i="33"/>
  <c r="J52" i="33" s="1"/>
  <c r="G53" i="33"/>
  <c r="H53" i="33" s="1"/>
  <c r="I53" i="33"/>
  <c r="J53" i="33" s="1"/>
  <c r="G63" i="40"/>
  <c r="F65" i="40"/>
  <c r="C60" i="67"/>
  <c r="C66" i="67"/>
  <c r="D9" i="71"/>
  <c r="C8" i="71"/>
  <c r="C50" i="34"/>
  <c r="C49" i="34"/>
  <c r="C26" i="68"/>
  <c r="D22" i="68" s="1"/>
  <c r="C44" i="68"/>
  <c r="D41" i="68" s="1"/>
  <c r="C44" i="69"/>
  <c r="D41" i="69" s="1"/>
  <c r="C26" i="69"/>
  <c r="D22" i="69" s="1"/>
  <c r="J26" i="15"/>
  <c r="J29" i="15" s="1"/>
  <c r="J24" i="15"/>
  <c r="D3" i="34"/>
  <c r="D3" i="33"/>
  <c r="E6" i="6"/>
  <c r="D37" i="11"/>
  <c r="M18" i="9"/>
  <c r="B118" i="9" s="1"/>
  <c r="B14" i="74" s="1"/>
  <c r="B1" i="74" s="1"/>
  <c r="C17" i="4"/>
  <c r="B4" i="52" s="1"/>
  <c r="B43" i="72" s="1"/>
  <c r="D3" i="37"/>
  <c r="D3" i="21"/>
  <c r="D19" i="11"/>
  <c r="C19" i="11" s="1"/>
  <c r="C38" i="15"/>
  <c r="C44" i="11"/>
  <c r="D41" i="11" s="1"/>
  <c r="C26" i="11"/>
  <c r="D22" i="11" s="1"/>
  <c r="C23" i="11"/>
  <c r="L52" i="37"/>
  <c r="K48" i="35"/>
  <c r="I46" i="36"/>
  <c r="C38" i="67"/>
  <c r="C66" i="15"/>
  <c r="C60" i="15"/>
  <c r="E53" i="34"/>
  <c r="F53" i="34" s="1"/>
  <c r="E54" i="34"/>
  <c r="F54" i="34" s="1"/>
  <c r="I53" i="34"/>
  <c r="J53" i="34" s="1"/>
  <c r="I54" i="34"/>
  <c r="J54" i="34" s="1"/>
  <c r="D14" i="12"/>
  <c r="AB6" i="3" l="1"/>
  <c r="E81" i="3"/>
  <c r="E499" i="3"/>
  <c r="E462" i="3"/>
  <c r="E345" i="3"/>
  <c r="E188" i="3"/>
  <c r="E176" i="3"/>
  <c r="E74" i="3"/>
  <c r="E468" i="3"/>
  <c r="E141" i="3"/>
  <c r="E246" i="3"/>
  <c r="E58" i="3"/>
  <c r="E133" i="3"/>
  <c r="E267" i="3"/>
  <c r="E147" i="3"/>
  <c r="E108" i="3"/>
  <c r="E166" i="3"/>
  <c r="E249" i="3"/>
  <c r="E503" i="3"/>
  <c r="E236" i="3"/>
  <c r="E255" i="3"/>
  <c r="E241" i="3"/>
  <c r="E66" i="3"/>
  <c r="E531" i="3"/>
  <c r="E485" i="3"/>
  <c r="E197" i="3"/>
  <c r="E382" i="3"/>
  <c r="E563" i="3"/>
  <c r="E123" i="3"/>
  <c r="E79" i="3"/>
  <c r="E315" i="3"/>
  <c r="E106" i="3"/>
  <c r="E587" i="3"/>
  <c r="E560" i="3"/>
  <c r="E221" i="3"/>
  <c r="E523" i="3"/>
  <c r="E426" i="3"/>
  <c r="E266" i="3"/>
  <c r="E155" i="3"/>
  <c r="E398" i="3"/>
  <c r="E244" i="3"/>
  <c r="E565" i="3"/>
  <c r="E126" i="3"/>
  <c r="E303" i="3"/>
  <c r="E111" i="3"/>
  <c r="E308" i="3"/>
  <c r="E538" i="3"/>
  <c r="E88" i="3"/>
  <c r="E316" i="3"/>
  <c r="E467" i="3"/>
  <c r="E33" i="3"/>
  <c r="E261" i="3"/>
  <c r="E396" i="3"/>
  <c r="E306" i="3"/>
  <c r="E224" i="3"/>
  <c r="E466" i="3"/>
  <c r="E517" i="3"/>
  <c r="E152" i="3"/>
  <c r="E389" i="3"/>
  <c r="E163" i="3"/>
  <c r="Y6" i="3"/>
  <c r="E489" i="3"/>
  <c r="E557" i="3"/>
  <c r="E400" i="3"/>
  <c r="AO6" i="3"/>
  <c r="E327" i="3"/>
  <c r="E140" i="3"/>
  <c r="E245" i="3"/>
  <c r="E578" i="3"/>
  <c r="O6" i="3"/>
  <c r="E524" i="3"/>
  <c r="E364" i="3"/>
  <c r="AQ6" i="3"/>
  <c r="E137" i="3"/>
  <c r="E409" i="3"/>
  <c r="E362" i="3"/>
  <c r="E214" i="3"/>
  <c r="E146" i="3"/>
  <c r="E454" i="3"/>
  <c r="E577" i="3"/>
  <c r="E465" i="3"/>
  <c r="E472" i="3"/>
  <c r="K6" i="3"/>
  <c r="E212" i="3"/>
  <c r="E130" i="3"/>
  <c r="E407" i="3"/>
  <c r="E390" i="3"/>
  <c r="X6" i="3"/>
  <c r="E53" i="3"/>
  <c r="E87" i="3"/>
  <c r="E47" i="3"/>
  <c r="E348" i="3"/>
  <c r="E90" i="3"/>
  <c r="E566" i="3"/>
  <c r="E552" i="3"/>
  <c r="E122" i="3"/>
  <c r="E536" i="3"/>
  <c r="E509" i="3"/>
  <c r="E63" i="3"/>
  <c r="AM6" i="3"/>
  <c r="E403" i="3"/>
  <c r="E116" i="3"/>
  <c r="E172" i="3"/>
  <c r="E38" i="3"/>
  <c r="E458" i="3"/>
  <c r="AN6" i="3"/>
  <c r="E129" i="3"/>
  <c r="E427" i="3"/>
  <c r="E19" i="3"/>
  <c r="E229" i="3"/>
  <c r="E553" i="3"/>
  <c r="E128" i="3"/>
  <c r="E216" i="3"/>
  <c r="E393" i="3"/>
  <c r="E440" i="3"/>
  <c r="E401" i="3"/>
  <c r="E242" i="3"/>
  <c r="E43" i="3"/>
  <c r="E342" i="3"/>
  <c r="E80" i="3"/>
  <c r="E114" i="3"/>
  <c r="E337" i="3"/>
  <c r="E343" i="3"/>
  <c r="E270" i="3"/>
  <c r="E189" i="3"/>
  <c r="E519" i="3"/>
  <c r="E457" i="3"/>
  <c r="E433" i="3"/>
  <c r="E279" i="3"/>
  <c r="E75" i="3"/>
  <c r="E194" i="3"/>
  <c r="E52" i="3"/>
  <c r="E50" i="3"/>
  <c r="E101" i="3"/>
  <c r="E574" i="3"/>
  <c r="E402" i="3"/>
  <c r="E159" i="3"/>
  <c r="E85" i="3"/>
  <c r="E379" i="3"/>
  <c r="E411" i="3"/>
  <c r="E432" i="3"/>
  <c r="E547" i="3"/>
  <c r="E546" i="3"/>
  <c r="E92" i="3"/>
  <c r="E272" i="3"/>
  <c r="E317" i="3"/>
  <c r="E29" i="3"/>
  <c r="E103" i="3"/>
  <c r="E310" i="3"/>
  <c r="E233" i="3"/>
  <c r="E283" i="3"/>
  <c r="E304" i="3"/>
  <c r="E213" i="3"/>
  <c r="E302" i="3"/>
  <c r="E579" i="3"/>
  <c r="E247" i="3"/>
  <c r="E397" i="3"/>
  <c r="I6" i="3"/>
  <c r="E549" i="3"/>
  <c r="E368" i="3"/>
  <c r="E196" i="3"/>
  <c r="E148"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AY6" i="3"/>
  <c r="E319" i="3"/>
  <c r="E153" i="3"/>
  <c r="E328" i="3"/>
  <c r="E121" i="3"/>
  <c r="E295" i="3"/>
  <c r="E334" i="3"/>
  <c r="E480" i="3"/>
  <c r="E160" i="3"/>
  <c r="E492" i="3"/>
  <c r="E355" i="3"/>
  <c r="E309" i="3"/>
  <c r="E183" i="3"/>
  <c r="E516" i="3"/>
  <c r="E151" i="3"/>
  <c r="AK6" i="3"/>
  <c r="E262" i="3"/>
  <c r="E89" i="3"/>
  <c r="E286" i="3"/>
  <c r="E502" i="3"/>
  <c r="E430" i="3"/>
  <c r="AP6" i="3"/>
  <c r="E491" i="3"/>
  <c r="E37" i="3"/>
  <c r="E192" i="3"/>
  <c r="E363" i="3"/>
  <c r="E76" i="3"/>
  <c r="E98" i="3"/>
  <c r="E307" i="3"/>
  <c r="E127" i="3"/>
  <c r="E179" i="3"/>
  <c r="E404" i="3"/>
  <c r="E444" i="3"/>
  <c r="E581" i="3"/>
  <c r="E558" i="3"/>
  <c r="E443" i="3"/>
  <c r="P6" i="3"/>
  <c r="E448" i="3"/>
  <c r="AG6" i="3"/>
  <c r="E576" i="3"/>
  <c r="E173" i="3"/>
  <c r="E223" i="3"/>
  <c r="E181" i="3"/>
  <c r="E191" i="3"/>
  <c r="E263" i="3"/>
  <c r="E423" i="3"/>
  <c r="E518" i="3"/>
  <c r="E359" i="3"/>
  <c r="E445" i="3"/>
  <c r="E69" i="3"/>
  <c r="E265" i="3"/>
  <c r="E20" i="3"/>
  <c r="E289" i="3"/>
  <c r="E36" i="3"/>
  <c r="E325" i="3"/>
  <c r="E234" i="3"/>
  <c r="E100" i="3"/>
  <c r="E15" i="3"/>
  <c r="E32" i="3"/>
  <c r="E580" i="3"/>
  <c r="E394" i="3"/>
  <c r="E274" i="3"/>
  <c r="E256" i="3"/>
  <c r="E203" i="3"/>
  <c r="E73" i="3"/>
  <c r="E55" i="3"/>
  <c r="E496" i="3"/>
  <c r="E429" i="3"/>
  <c r="AE6" i="3"/>
  <c r="E344" i="3"/>
  <c r="E424" i="3"/>
  <c r="E481" i="3"/>
  <c r="E437" i="3"/>
  <c r="Q6" i="3"/>
  <c r="E330" i="3"/>
  <c r="E167" i="3"/>
  <c r="E149" i="3"/>
  <c r="E254" i="3"/>
  <c r="E230" i="3"/>
  <c r="E320" i="3"/>
  <c r="V6" i="3"/>
  <c r="S6" i="3"/>
  <c r="E293" i="3"/>
  <c r="E336" i="3"/>
  <c r="E583" i="3"/>
  <c r="E501" i="3"/>
  <c r="E373" i="3"/>
  <c r="E341" i="3"/>
  <c r="E584" i="3"/>
  <c r="E195" i="3"/>
  <c r="E540" i="3"/>
  <c r="E375" i="3"/>
  <c r="E297" i="3"/>
  <c r="E131" i="3"/>
  <c r="E436" i="3"/>
  <c r="E582" i="3"/>
  <c r="E459" i="3"/>
  <c r="E464" i="3"/>
  <c r="AD6" i="3"/>
  <c r="E277" i="3"/>
  <c r="E156" i="3"/>
  <c r="E453" i="3"/>
  <c r="E568" i="3"/>
  <c r="E431" i="3"/>
  <c r="E17" i="3"/>
  <c r="E237" i="3"/>
  <c r="E67" i="3"/>
  <c r="E425" i="3"/>
  <c r="E291" i="3"/>
  <c r="E71" i="3"/>
  <c r="E367" i="3"/>
  <c r="U6" i="3"/>
  <c r="E228" i="3"/>
  <c r="E385" i="3"/>
  <c r="E218" i="3"/>
  <c r="E339" i="3"/>
  <c r="E318" i="3"/>
  <c r="E571" i="3"/>
  <c r="E77" i="3"/>
  <c r="AA6" i="3"/>
  <c r="E550" i="3"/>
  <c r="E251" i="3"/>
  <c r="E333" i="3"/>
  <c r="J6" i="3"/>
  <c r="E207" i="3"/>
  <c r="E545" i="3"/>
  <c r="E435" i="3"/>
  <c r="G70" i="39"/>
  <c r="H68" i="39"/>
  <c r="E544" i="3"/>
  <c r="E193" i="3"/>
  <c r="E184" i="3"/>
  <c r="E125" i="3"/>
  <c r="N6" i="3"/>
  <c r="E352" i="3"/>
  <c r="E559" i="3"/>
  <c r="E380" i="3"/>
  <c r="E135" i="3"/>
  <c r="E145" i="3"/>
  <c r="E564" i="3"/>
  <c r="E507" i="3"/>
  <c r="E376" i="3"/>
  <c r="E419" i="3"/>
  <c r="E40" i="3"/>
  <c r="E119" i="3"/>
  <c r="E276" i="3"/>
  <c r="L6" i="3"/>
  <c r="E412" i="3"/>
  <c r="E275" i="3"/>
  <c r="E34" i="3"/>
  <c r="AF6" i="3"/>
  <c r="E158" i="3"/>
  <c r="E22" i="3"/>
  <c r="E395" i="3"/>
  <c r="E555" i="3"/>
  <c r="E353" i="3"/>
  <c r="E175" i="3"/>
  <c r="E508" i="3"/>
  <c r="E280" i="3"/>
  <c r="AR6" i="3"/>
  <c r="E335" i="3"/>
  <c r="E91" i="3"/>
  <c r="E199" i="3"/>
  <c r="E573" i="3"/>
  <c r="E527" i="3"/>
  <c r="E562" i="3"/>
  <c r="E450" i="3"/>
  <c r="E72" i="3"/>
  <c r="E150" i="3"/>
  <c r="E351" i="3"/>
  <c r="E31" i="3"/>
  <c r="E455" i="3"/>
  <c r="E170" i="3"/>
  <c r="E219" i="3"/>
  <c r="E392" i="3"/>
  <c r="E112" i="3"/>
  <c r="E340" i="3"/>
  <c r="E62" i="3"/>
  <c r="E365" i="3"/>
  <c r="E278" i="3"/>
  <c r="E535" i="3"/>
  <c r="E285" i="3"/>
  <c r="AI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AY394" i="3"/>
  <c r="AY24" i="3"/>
  <c r="E70" i="3"/>
  <c r="E48" i="3"/>
  <c r="E446" i="3"/>
  <c r="E292" i="3"/>
  <c r="E56" i="3"/>
  <c r="I3" i="6"/>
  <c r="R6" i="3"/>
  <c r="E269" i="3"/>
  <c r="E16" i="3"/>
  <c r="E239" i="3"/>
  <c r="E264" i="3"/>
  <c r="E371" i="3"/>
  <c r="E109" i="3"/>
  <c r="E211" i="3"/>
  <c r="E551" i="3"/>
  <c r="E217" i="3"/>
  <c r="E526" i="3"/>
  <c r="E268" i="3"/>
  <c r="E322" i="3"/>
  <c r="AJ6" i="3"/>
  <c r="E539" i="3"/>
  <c r="E567" i="3"/>
  <c r="E461" i="3"/>
  <c r="E227" i="3"/>
  <c r="E165" i="3"/>
  <c r="E311" i="3"/>
  <c r="E514" i="3"/>
  <c r="E570"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209" i="3"/>
  <c r="E132" i="3"/>
  <c r="E541" i="3"/>
  <c r="E296" i="3"/>
  <c r="E528" i="3"/>
  <c r="E46" i="3"/>
  <c r="I4" i="6"/>
  <c r="G3" i="43" s="1"/>
  <c r="Y11" i="43" s="1"/>
  <c r="Y13" i="43" s="1"/>
  <c r="E366" i="3"/>
  <c r="E282" i="3"/>
  <c r="E329" i="3"/>
  <c r="E510" i="3"/>
  <c r="E205" i="3"/>
  <c r="E358" i="3"/>
  <c r="E561" i="3"/>
  <c r="E439" i="3"/>
  <c r="E231" i="3"/>
  <c r="E185" i="3"/>
  <c r="E161" i="3"/>
  <c r="E271" i="3"/>
  <c r="E107" i="3"/>
  <c r="E493" i="3"/>
  <c r="E543" i="3"/>
  <c r="E486" i="3"/>
  <c r="E422" i="3"/>
  <c r="E490" i="3"/>
  <c r="AH6" i="3"/>
  <c r="E498" i="3"/>
  <c r="E483" i="3"/>
  <c r="E463" i="3"/>
  <c r="E25" i="3"/>
  <c r="E178" i="3"/>
  <c r="E202" i="3"/>
  <c r="E226" i="3"/>
  <c r="E346" i="3"/>
  <c r="E372" i="3"/>
  <c r="E60" i="3"/>
  <c r="E428" i="3"/>
  <c r="E96" i="3"/>
  <c r="E174" i="3"/>
  <c r="E324" i="3"/>
  <c r="E35" i="3"/>
  <c r="E206" i="3"/>
  <c r="E370" i="3"/>
  <c r="E102" i="3"/>
  <c r="E113" i="3"/>
  <c r="E287" i="3"/>
  <c r="E326" i="3"/>
  <c r="E83" i="3"/>
  <c r="E415" i="3"/>
  <c r="E260" i="3"/>
  <c r="E388" i="3"/>
  <c r="E410" i="3"/>
  <c r="E143" i="3"/>
  <c r="E495" i="3"/>
  <c r="E586" i="3"/>
  <c r="E530" i="3"/>
  <c r="E305" i="3"/>
  <c r="E347" i="3"/>
  <c r="E399" i="3"/>
  <c r="E124" i="3"/>
  <c r="E533" i="3"/>
  <c r="M6" i="3"/>
  <c r="E387" i="3"/>
  <c r="E215" i="3"/>
  <c r="E134" i="3"/>
  <c r="E180" i="3"/>
  <c r="E253" i="3"/>
  <c r="E313" i="3"/>
  <c r="E532" i="3"/>
  <c r="E529" i="3"/>
  <c r="E474" i="3"/>
  <c r="E438" i="3"/>
  <c r="E288" i="3"/>
  <c r="W6" i="3"/>
  <c r="E537" i="3"/>
  <c r="E471" i="3"/>
  <c r="E475" i="3"/>
  <c r="E54" i="3"/>
  <c r="E168" i="3"/>
  <c r="E208" i="3"/>
  <c r="E257" i="3"/>
  <c r="E357" i="3"/>
  <c r="E14" i="3"/>
  <c r="E93" i="3"/>
  <c r="E473" i="3"/>
  <c r="E28" i="3"/>
  <c r="E273" i="3"/>
  <c r="E484" i="3"/>
  <c r="E84" i="3"/>
  <c r="E21" i="3"/>
  <c r="E569" i="3"/>
  <c r="E434" i="3"/>
  <c r="E45" i="3"/>
  <c r="E442" i="3"/>
  <c r="E554" i="3"/>
  <c r="E95" i="3"/>
  <c r="E349" i="3"/>
  <c r="E138" i="3"/>
  <c r="E284" i="3"/>
  <c r="E182" i="3"/>
  <c r="E572" i="3"/>
  <c r="E200" i="3"/>
  <c r="E68" i="3"/>
  <c r="E361" i="3"/>
  <c r="E314" i="3"/>
  <c r="E136" i="3"/>
  <c r="E575" i="3"/>
  <c r="E449" i="3"/>
  <c r="E417" i="3"/>
  <c r="E258" i="3"/>
  <c r="E59" i="3"/>
  <c r="E354" i="3"/>
  <c r="E323" i="3"/>
  <c r="AY305" i="3"/>
  <c r="AY83" i="3"/>
  <c r="AY307" i="3"/>
  <c r="AY551" i="3"/>
  <c r="AY580" i="3"/>
  <c r="AY436" i="3"/>
  <c r="AY565" i="3"/>
  <c r="AY171" i="3"/>
  <c r="BK6" i="3"/>
  <c r="AY290" i="3"/>
  <c r="AY65" i="3"/>
  <c r="AY426" i="3"/>
  <c r="AY285" i="3"/>
  <c r="AY148" i="3"/>
  <c r="AY155" i="3"/>
  <c r="AY229" i="3"/>
  <c r="AY52" i="3"/>
  <c r="AY368" i="3"/>
  <c r="AY370" i="3"/>
  <c r="AY406" i="3"/>
  <c r="AY543" i="3"/>
  <c r="AY153" i="3"/>
  <c r="AY320" i="3"/>
  <c r="AY538" i="3"/>
  <c r="AY62" i="3"/>
  <c r="AY359" i="3"/>
  <c r="AY107" i="3"/>
  <c r="AY240" i="3"/>
  <c r="AY566" i="3"/>
  <c r="AY143" i="3"/>
  <c r="AY265" i="3"/>
  <c r="AY402" i="3"/>
  <c r="AY64" i="3"/>
  <c r="AY480" i="3"/>
  <c r="AY255" i="3"/>
  <c r="AY489" i="3"/>
  <c r="AY560" i="3"/>
  <c r="AY329" i="3"/>
  <c r="AY214" i="3"/>
  <c r="AY103" i="3"/>
  <c r="AY160" i="3"/>
  <c r="AY74" i="3"/>
  <c r="AY123" i="3"/>
  <c r="AY207" i="3"/>
  <c r="AY4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191" i="3"/>
  <c r="AY31" i="3"/>
  <c r="AY144" i="3"/>
  <c r="AY58" i="3"/>
  <c r="AY371" i="3"/>
  <c r="AY428" i="3"/>
  <c r="AY245" i="3"/>
  <c r="AY342" i="3"/>
  <c r="AY513" i="3"/>
  <c r="AY553" i="3"/>
  <c r="AY60" i="3"/>
  <c r="AY170" i="3"/>
  <c r="AY299" i="3"/>
  <c r="AY246" i="3"/>
  <c r="AY357" i="3"/>
  <c r="AY41" i="3"/>
  <c r="AY114" i="3"/>
  <c r="AY377" i="3"/>
  <c r="AY491" i="3"/>
  <c r="AY414"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12" i="3"/>
  <c r="AY587" i="3"/>
  <c r="AY86" i="3"/>
  <c r="AY70" i="3"/>
  <c r="AY27" i="3"/>
  <c r="AY179" i="3"/>
  <c r="AY159" i="3"/>
  <c r="AY119" i="3"/>
  <c r="AY273" i="3"/>
  <c r="AY256" i="3"/>
  <c r="AY213" i="3"/>
  <c r="AY367" i="3"/>
  <c r="AY323" i="3"/>
  <c r="AY306" i="3"/>
  <c r="AY459" i="3"/>
  <c r="AY416" i="3"/>
  <c r="AY550" i="3"/>
  <c r="BC6" i="3"/>
  <c r="AY504" i="3"/>
  <c r="AY498"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59" i="3"/>
  <c r="AY23"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BM6" i="3"/>
  <c r="AY446" i="3"/>
  <c r="AY332" i="3"/>
  <c r="AY210" i="3"/>
  <c r="AY177" i="3"/>
  <c r="AY104" i="3"/>
  <c r="AY381" i="3"/>
  <c r="AY231" i="3"/>
  <c r="AY118" i="3"/>
  <c r="AY201" i="3"/>
  <c r="AY45" i="3"/>
  <c r="AY541" i="3"/>
  <c r="AY433" i="3"/>
  <c r="AY358" i="3"/>
  <c r="AY180" i="3"/>
  <c r="AY470" i="3"/>
  <c r="AY225" i="3"/>
  <c r="AY276" i="3"/>
  <c r="AY34" i="3"/>
  <c r="AY90" i="3"/>
  <c r="AY18" i="3"/>
  <c r="P16" i="1"/>
  <c r="M20" i="6"/>
  <c r="I20" i="6" s="1"/>
  <c r="S7" i="1"/>
  <c r="S16" i="1" s="1"/>
  <c r="C21" i="1"/>
  <c r="K27" i="6"/>
  <c r="M19" i="6"/>
  <c r="M27" i="6" s="1"/>
  <c r="F34" i="11"/>
  <c r="I19" i="6"/>
  <c r="AQ6" i="1"/>
  <c r="T6" i="1"/>
  <c r="AR6" i="1"/>
  <c r="AC33" i="21"/>
  <c r="V48" i="21" s="1"/>
  <c r="I48" i="21" s="1"/>
  <c r="W33" i="21"/>
  <c r="AB38" i="39"/>
  <c r="U38" i="39"/>
  <c r="W38" i="39"/>
  <c r="AC38" i="39"/>
  <c r="AB33" i="21"/>
  <c r="T48" i="21" s="1"/>
  <c r="G48" i="21" s="1"/>
  <c r="U33" i="21"/>
  <c r="S33" i="21"/>
  <c r="AA33" i="21"/>
  <c r="R48" i="21" s="1"/>
  <c r="AA38" i="39"/>
  <c r="S38" i="39"/>
  <c r="B2" i="34"/>
  <c r="B3" i="34" s="1"/>
  <c r="H63" i="40"/>
  <c r="G65" i="40"/>
  <c r="C49" i="33"/>
  <c r="B2" i="33" s="1"/>
  <c r="B3" i="33" s="1"/>
  <c r="C48" i="33"/>
  <c r="E52" i="33"/>
  <c r="F52" i="33" s="1"/>
  <c r="E53" i="33"/>
  <c r="F53" i="33" s="1"/>
  <c r="L48" i="35"/>
  <c r="C33" i="15"/>
  <c r="C20" i="11"/>
  <c r="C25" i="11" s="1"/>
  <c r="C24" i="11"/>
  <c r="C28" i="11"/>
  <c r="C27" i="11" s="1"/>
  <c r="D17" i="12"/>
  <c r="C17" i="12" s="1"/>
  <c r="D10" i="11"/>
  <c r="C10" i="11" s="1"/>
  <c r="D10" i="69"/>
  <c r="J46" i="36"/>
  <c r="M52" i="37"/>
  <c r="C8" i="74"/>
  <c r="C7" i="74"/>
  <c r="C33" i="67"/>
  <c r="J59" i="67"/>
  <c r="J60" i="67" s="1"/>
  <c r="C7" i="71"/>
  <c r="D8" i="71"/>
  <c r="D20" i="81"/>
  <c r="D10" i="68"/>
  <c r="D10" i="80"/>
  <c r="C17" i="67"/>
  <c r="C14" i="67"/>
  <c r="C11" i="12"/>
  <c r="D14" i="81"/>
  <c r="C13" i="12"/>
  <c r="D20" i="12"/>
  <c r="F11" i="12"/>
  <c r="F34" i="68"/>
  <c r="C17" i="15"/>
  <c r="S6" i="43" l="1"/>
  <c r="T6" i="43" s="1"/>
  <c r="V6" i="43" s="1"/>
  <c r="AY174" i="3"/>
  <c r="AY38" i="3"/>
  <c r="AY521" i="3"/>
  <c r="AY79" i="3"/>
  <c r="AY552" i="3"/>
  <c r="AY69" i="3"/>
  <c r="AY156" i="3"/>
  <c r="AY465" i="3"/>
  <c r="AY200" i="3"/>
  <c r="AY151" i="3"/>
  <c r="AY445" i="3"/>
  <c r="AY523" i="3"/>
  <c r="AY324" i="3"/>
  <c r="AY141" i="3"/>
  <c r="AY252" i="3"/>
  <c r="AY469" i="3"/>
  <c r="AY251" i="3"/>
  <c r="AY138" i="3"/>
  <c r="AY95" i="3"/>
  <c r="AY228" i="3"/>
  <c r="AY28" i="3"/>
  <c r="AY554" i="3"/>
  <c r="AY488" i="3"/>
  <c r="AY501" i="3"/>
  <c r="AY137" i="3"/>
  <c r="AY312" i="3"/>
  <c r="AY14" i="3"/>
  <c r="AY46" i="3"/>
  <c r="AY362" i="3"/>
  <c r="AY91" i="3"/>
  <c r="AY224" i="3"/>
  <c r="AY511" i="3"/>
  <c r="AY204" i="3"/>
  <c r="AY412" i="3"/>
  <c r="AY326" i="3"/>
  <c r="AY105" i="3"/>
  <c r="AY162" i="3"/>
  <c r="AY238" i="3"/>
  <c r="AY72" i="3"/>
  <c r="AY258" i="3"/>
  <c r="AY309" i="3"/>
  <c r="AY449" i="3"/>
  <c r="AY503" i="3"/>
  <c r="AY520" i="3"/>
  <c r="AY496" i="3"/>
  <c r="AY21" i="3"/>
  <c r="AY267" i="3"/>
  <c r="AY337" i="3"/>
  <c r="AY476" i="3"/>
  <c r="AY415" i="3"/>
  <c r="AY515" i="3"/>
  <c r="AY493" i="3"/>
  <c r="AY172" i="3"/>
  <c r="AY248" i="3"/>
  <c r="AY485" i="3"/>
  <c r="AY547" i="3"/>
  <c r="AY54" i="3"/>
  <c r="AY293" i="3"/>
  <c r="AY351" i="3"/>
  <c r="AY400" i="3"/>
  <c r="BT6" i="3"/>
  <c r="AY386" i="3"/>
  <c r="AY71" i="3"/>
  <c r="AY315" i="3"/>
  <c r="AY19" i="3"/>
  <c r="AY522" i="3"/>
  <c r="AY479" i="3"/>
  <c r="AY113" i="3"/>
  <c r="AY532" i="3"/>
  <c r="AY419" i="3"/>
  <c r="AY341" i="3"/>
  <c r="BB6" i="3"/>
  <c r="AY198" i="3"/>
  <c r="AY379" i="3"/>
  <c r="AY131" i="3"/>
  <c r="AY277" i="3"/>
  <c r="AY232" i="3"/>
  <c r="AY407" i="3"/>
  <c r="AY194" i="3"/>
  <c r="AY349" i="3"/>
  <c r="AY108" i="3"/>
  <c r="AY163" i="3"/>
  <c r="AY67" i="3"/>
  <c r="AY196" i="3"/>
  <c r="AY139" i="3"/>
  <c r="F22" i="43"/>
  <c r="AY405" i="3"/>
  <c r="AY466" i="3"/>
  <c r="AY331" i="3"/>
  <c r="AY221" i="3"/>
  <c r="AY280" i="3"/>
  <c r="AY167" i="3"/>
  <c r="AY35" i="3"/>
  <c r="AY94" i="3"/>
  <c r="AY531" i="3"/>
  <c r="AY509" i="3"/>
  <c r="D3" i="6"/>
  <c r="D26" i="6" s="1"/>
  <c r="AY579" i="3"/>
  <c r="AY410" i="3"/>
  <c r="AY453" i="3"/>
  <c r="AY487" i="3"/>
  <c r="AY313" i="3"/>
  <c r="AY369" i="3"/>
  <c r="AY266" i="3"/>
  <c r="AY129" i="3"/>
  <c r="AY189" i="3"/>
  <c r="AY80" i="3"/>
  <c r="AY519" i="3"/>
  <c r="AY584" i="3"/>
  <c r="AY510" i="3"/>
  <c r="BF6" i="3"/>
  <c r="AY581" i="3"/>
  <c r="AY457" i="3"/>
  <c r="AY317" i="3"/>
  <c r="AY274" i="3"/>
  <c r="AY197" i="3"/>
  <c r="BJ6" i="3"/>
  <c r="AY392" i="3"/>
  <c r="AY263" i="3"/>
  <c r="AY149" i="3"/>
  <c r="AY206" i="3"/>
  <c r="AY77" i="3"/>
  <c r="AY569" i="3"/>
  <c r="AY452" i="3"/>
  <c r="AY395" i="3"/>
  <c r="AY106" i="3"/>
  <c r="AY318" i="3"/>
  <c r="AY268" i="3"/>
  <c r="AY152" i="3"/>
  <c r="AY87" i="3"/>
  <c r="AY132" i="3"/>
  <c r="AY82"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124" i="3"/>
  <c r="AY51" i="3"/>
  <c r="AY183" i="3"/>
  <c r="AY289" i="3"/>
  <c r="AY50" i="3"/>
  <c r="AY409" i="3"/>
  <c r="AY495" i="3"/>
  <c r="AY99" i="3"/>
  <c r="AY429" i="3"/>
  <c r="AY540" i="3"/>
  <c r="AY275" i="3"/>
  <c r="AY536" i="3"/>
  <c r="AY361" i="3"/>
  <c r="BP6" i="3"/>
  <c r="AY500" i="3"/>
  <c r="AY443" i="3"/>
  <c r="AY477" i="3"/>
  <c r="AY164" i="3"/>
  <c r="AY408" i="3"/>
  <c r="AY301" i="3"/>
  <c r="AY545" i="3"/>
  <c r="AY434" i="3"/>
  <c r="AY396" i="3"/>
  <c r="AY81" i="3"/>
  <c r="AY572" i="3"/>
  <c r="AY483" i="3"/>
  <c r="AY121" i="3"/>
  <c r="AY291" i="3"/>
  <c r="AY557" i="3"/>
  <c r="AY363" i="3"/>
  <c r="AY490" i="3"/>
  <c r="AY437" i="3"/>
  <c r="AY570" i="3"/>
  <c r="AY380" i="3"/>
  <c r="AY534" i="3"/>
  <c r="AY294" i="3"/>
  <c r="AY335" i="3"/>
  <c r="AY427" i="3"/>
  <c r="AY354" i="3"/>
  <c r="AY181" i="3"/>
  <c r="AY250" i="3"/>
  <c r="AY451" i="3"/>
  <c r="AY582" i="3"/>
  <c r="AY215" i="3"/>
  <c r="AY568" i="3"/>
  <c r="AY384" i="3"/>
  <c r="AY297" i="3"/>
  <c r="AY468" i="3"/>
  <c r="AY438" i="3"/>
  <c r="AY257" i="3"/>
  <c r="AY98" i="3"/>
  <c r="AY43" i="3"/>
  <c r="AY505" i="3"/>
  <c r="G101" i="43"/>
  <c r="G102" i="43" s="1"/>
  <c r="D11" i="6"/>
  <c r="E22" i="43"/>
  <c r="N104" i="46"/>
  <c r="H25" i="6"/>
  <c r="S3" i="43"/>
  <c r="T3" i="43" s="1"/>
  <c r="V3" i="43" s="1"/>
  <c r="E101" i="43"/>
  <c r="E106" i="43" s="1"/>
  <c r="D101" i="43"/>
  <c r="D109" i="43" s="1"/>
  <c r="AB11" i="43"/>
  <c r="AB13" i="43" s="1"/>
  <c r="AC11" i="43"/>
  <c r="AC13" i="43" s="1"/>
  <c r="D22" i="6"/>
  <c r="D19" i="6"/>
  <c r="M19" i="9" s="1"/>
  <c r="C118" i="9" s="1"/>
  <c r="C14" i="74" s="1"/>
  <c r="S2" i="43"/>
  <c r="T2" i="43" s="1"/>
  <c r="V2" i="43" s="1"/>
  <c r="J101" i="43"/>
  <c r="J107" i="43" s="1"/>
  <c r="Z7" i="43"/>
  <c r="Z11" i="43"/>
  <c r="Z13" i="43" s="1"/>
  <c r="C101" i="43"/>
  <c r="C106" i="43" s="1"/>
  <c r="M101" i="43"/>
  <c r="M106" i="43" s="1"/>
  <c r="AA11" i="43"/>
  <c r="AA13" i="43" s="1"/>
  <c r="L101" i="43"/>
  <c r="L105" i="43" s="1"/>
  <c r="AD11" i="43"/>
  <c r="AD13" i="43" s="1"/>
  <c r="H6" i="3"/>
  <c r="AC6" i="3"/>
  <c r="I68" i="39"/>
  <c r="H70" i="39"/>
  <c r="D6" i="6"/>
  <c r="H23" i="6"/>
  <c r="D23" i="6"/>
  <c r="S4" i="43"/>
  <c r="T4" i="43" s="1"/>
  <c r="V4" i="43" s="1"/>
  <c r="S7" i="43"/>
  <c r="T7" i="43" s="1"/>
  <c r="V7" i="43" s="1"/>
  <c r="C23" i="43"/>
  <c r="C21" i="43" s="1"/>
  <c r="C29" i="43" s="1"/>
  <c r="N101" i="43"/>
  <c r="N106" i="43" s="1"/>
  <c r="H101" i="43"/>
  <c r="H103" i="43" s="1"/>
  <c r="AF11" i="43"/>
  <c r="AF13" i="43" s="1"/>
  <c r="AE11" i="43"/>
  <c r="AE13" i="43" s="1"/>
  <c r="I101" i="43"/>
  <c r="I103" i="43" s="1"/>
  <c r="G22" i="43"/>
  <c r="J22" i="43"/>
  <c r="K101" i="43"/>
  <c r="K104" i="43" s="1"/>
  <c r="H22" i="43"/>
  <c r="AJ11" i="43"/>
  <c r="AJ13" i="43" s="1"/>
  <c r="AI11" i="43"/>
  <c r="AI13" i="43" s="1"/>
  <c r="B113" i="43"/>
  <c r="B116" i="43" s="1"/>
  <c r="C116" i="43" s="1"/>
  <c r="F101" i="43"/>
  <c r="F105" i="43" s="1"/>
  <c r="AH11" i="43"/>
  <c r="AH13" i="43" s="1"/>
  <c r="AG11" i="43"/>
  <c r="AG13" i="43" s="1"/>
  <c r="H21" i="6"/>
  <c r="D10" i="6"/>
  <c r="D24" i="6"/>
  <c r="D25" i="6"/>
  <c r="D28" i="6"/>
  <c r="D5" i="6"/>
  <c r="C18" i="4"/>
  <c r="C4" i="52" s="1"/>
  <c r="B45" i="72" s="1"/>
  <c r="H24" i="6"/>
  <c r="H22" i="6"/>
  <c r="R22" i="6" s="1"/>
  <c r="D29" i="6"/>
  <c r="D9" i="6"/>
  <c r="D20" i="6"/>
  <c r="M19" i="82" s="1"/>
  <c r="C118" i="82" s="1"/>
  <c r="D21" i="6"/>
  <c r="R21" i="6" s="1"/>
  <c r="D15" i="6"/>
  <c r="H26" i="6"/>
  <c r="R26" i="6" s="1"/>
  <c r="E61" i="40"/>
  <c r="D13" i="6"/>
  <c r="D12" i="6"/>
  <c r="D14" i="6"/>
  <c r="D8" i="6"/>
  <c r="C12" i="12"/>
  <c r="C15" i="12"/>
  <c r="D17" i="81"/>
  <c r="C17" i="81" s="1"/>
  <c r="C14" i="81"/>
  <c r="C10" i="80"/>
  <c r="D19" i="80"/>
  <c r="D37" i="80" s="1"/>
  <c r="C37" i="80" s="1"/>
  <c r="C20" i="81"/>
  <c r="C18" i="81" s="1"/>
  <c r="C15" i="67"/>
  <c r="C18" i="67"/>
  <c r="H19" i="6"/>
  <c r="L19" i="9" s="1"/>
  <c r="L18" i="9"/>
  <c r="J105" i="43"/>
  <c r="E103" i="43"/>
  <c r="D104" i="43"/>
  <c r="C102" i="43"/>
  <c r="G105" i="43"/>
  <c r="S20" i="6"/>
  <c r="L18" i="82"/>
  <c r="H20" i="6"/>
  <c r="I116" i="43"/>
  <c r="J116" i="43" s="1"/>
  <c r="K116" i="43" s="1"/>
  <c r="L116" i="43" s="1"/>
  <c r="M116" i="43" s="1"/>
  <c r="AQ7" i="1"/>
  <c r="AR7" i="1"/>
  <c r="T7" i="1"/>
  <c r="E7" i="70"/>
  <c r="E2" i="70" s="1"/>
  <c r="C20" i="12"/>
  <c r="C18" i="12" s="1"/>
  <c r="C14" i="12"/>
  <c r="T16" i="1"/>
  <c r="C34" i="11"/>
  <c r="C36" i="11"/>
  <c r="S19" i="6"/>
  <c r="I27" i="6"/>
  <c r="C37" i="11"/>
  <c r="E48" i="21"/>
  <c r="I53" i="21" s="1"/>
  <c r="J53" i="21" s="1"/>
  <c r="R49" i="21"/>
  <c r="G52" i="21"/>
  <c r="H52" i="21" s="1"/>
  <c r="G53" i="21"/>
  <c r="H53" i="21" s="1"/>
  <c r="I52" i="21"/>
  <c r="J52" i="21" s="1"/>
  <c r="C22" i="11"/>
  <c r="C31" i="11" s="1"/>
  <c r="H65" i="40"/>
  <c r="I63" i="40"/>
  <c r="C10" i="69"/>
  <c r="C8" i="69" s="1"/>
  <c r="C5" i="69" s="1"/>
  <c r="D19" i="69"/>
  <c r="Q48" i="67"/>
  <c r="N52" i="37"/>
  <c r="K46" i="36"/>
  <c r="D19" i="68"/>
  <c r="C10" i="68"/>
  <c r="C8" i="68" s="1"/>
  <c r="M48" i="35"/>
  <c r="C6" i="71"/>
  <c r="T7" i="71"/>
  <c r="D7" i="71"/>
  <c r="U7" i="71" s="1"/>
  <c r="C34" i="80"/>
  <c r="C11" i="81"/>
  <c r="C14" i="15"/>
  <c r="C34" i="68"/>
  <c r="C36" i="68"/>
  <c r="H33" i="80" l="1"/>
  <c r="G109" i="43"/>
  <c r="G106" i="43"/>
  <c r="L103" i="43"/>
  <c r="B117" i="43"/>
  <c r="C117" i="43" s="1"/>
  <c r="K103" i="43"/>
  <c r="G104" i="43"/>
  <c r="G103" i="43"/>
  <c r="G107" i="43"/>
  <c r="D117" i="43"/>
  <c r="E117" i="43" s="1"/>
  <c r="F117" i="43" s="1"/>
  <c r="G117" i="43" s="1"/>
  <c r="H117" i="43" s="1"/>
  <c r="K107" i="43"/>
  <c r="H102" i="43"/>
  <c r="C109" i="43"/>
  <c r="E109" i="43"/>
  <c r="A10" i="51"/>
  <c r="B9" i="72" s="1"/>
  <c r="D115" i="43"/>
  <c r="E115" i="43" s="1"/>
  <c r="F115" i="43" s="1"/>
  <c r="G115" i="43" s="1"/>
  <c r="H115" i="43" s="1"/>
  <c r="D118" i="43"/>
  <c r="E118" i="43" s="1"/>
  <c r="F118" i="43" s="1"/>
  <c r="B115" i="43"/>
  <c r="C115" i="43" s="1"/>
  <c r="K106" i="43"/>
  <c r="K102" i="43"/>
  <c r="H106" i="43"/>
  <c r="H104" i="43"/>
  <c r="C103" i="43"/>
  <c r="C104" i="43"/>
  <c r="E105" i="43"/>
  <c r="E102" i="43"/>
  <c r="S5" i="43" s="1"/>
  <c r="T5" i="43" s="1"/>
  <c r="V5" i="43" s="1"/>
  <c r="A7" i="51"/>
  <c r="B7" i="72" s="1"/>
  <c r="I117" i="43"/>
  <c r="J117" i="43" s="1"/>
  <c r="K117" i="43" s="1"/>
  <c r="L117" i="43" s="1"/>
  <c r="M117" i="43" s="1"/>
  <c r="D116" i="43"/>
  <c r="E116" i="43" s="1"/>
  <c r="F116" i="43" s="1"/>
  <c r="G116" i="43" s="1"/>
  <c r="H116" i="43" s="1"/>
  <c r="I115" i="43"/>
  <c r="J115" i="43" s="1"/>
  <c r="K115" i="43" s="1"/>
  <c r="L115" i="43" s="1"/>
  <c r="M115" i="43" s="1"/>
  <c r="B118" i="43"/>
  <c r="C118" i="43" s="1"/>
  <c r="G118" i="43"/>
  <c r="H118" i="43" s="1"/>
  <c r="I118" i="43"/>
  <c r="J118" i="43" s="1"/>
  <c r="K118" i="43" s="1"/>
  <c r="L118" i="43" s="1"/>
  <c r="M118" i="43" s="1"/>
  <c r="K105" i="43"/>
  <c r="K109" i="43"/>
  <c r="H105" i="43"/>
  <c r="H107" i="43"/>
  <c r="H109" i="43"/>
  <c r="C107" i="43"/>
  <c r="C105" i="43"/>
  <c r="E107" i="43"/>
  <c r="E104" i="43"/>
  <c r="D16" i="6"/>
  <c r="R24" i="6"/>
  <c r="R25" i="6"/>
  <c r="D22" i="43"/>
  <c r="R23" i="6"/>
  <c r="E6" i="3"/>
  <c r="M102" i="43"/>
  <c r="F103" i="43"/>
  <c r="L107" i="43"/>
  <c r="M104" i="43"/>
  <c r="D106" i="43"/>
  <c r="D105" i="43"/>
  <c r="J103" i="43"/>
  <c r="I105" i="43"/>
  <c r="N103" i="43"/>
  <c r="L102" i="43"/>
  <c r="L106" i="43"/>
  <c r="M105" i="43"/>
  <c r="D107" i="43"/>
  <c r="D103" i="43"/>
  <c r="D102" i="43"/>
  <c r="J109" i="43"/>
  <c r="J106" i="43"/>
  <c r="I107" i="43"/>
  <c r="N102" i="43"/>
  <c r="R20" i="6"/>
  <c r="R7" i="1" s="1"/>
  <c r="L109" i="43"/>
  <c r="L104" i="43"/>
  <c r="M107" i="43"/>
  <c r="M103" i="43"/>
  <c r="M109" i="43"/>
  <c r="J102" i="43"/>
  <c r="J104" i="43"/>
  <c r="I70" i="39"/>
  <c r="J68" i="39"/>
  <c r="F102" i="43"/>
  <c r="F106" i="43"/>
  <c r="I102" i="43"/>
  <c r="I109" i="43"/>
  <c r="N107" i="43"/>
  <c r="N105" i="43"/>
  <c r="C15" i="74"/>
  <c r="B2" i="74" s="1"/>
  <c r="D8" i="74" s="1"/>
  <c r="S27" i="6"/>
  <c r="F109" i="43"/>
  <c r="F107" i="43"/>
  <c r="F104" i="43"/>
  <c r="I106" i="43"/>
  <c r="I104" i="43"/>
  <c r="N104" i="43"/>
  <c r="N109" i="43"/>
  <c r="D27" i="6"/>
  <c r="D30" i="6"/>
  <c r="C19" i="67"/>
  <c r="C20" i="67" s="1"/>
  <c r="C26" i="67" s="1"/>
  <c r="C16" i="12"/>
  <c r="C21" i="12" s="1"/>
  <c r="C22" i="12" s="1"/>
  <c r="L19" i="82"/>
  <c r="C15" i="81"/>
  <c r="C12" i="81"/>
  <c r="C15" i="15"/>
  <c r="C18" i="15"/>
  <c r="C35" i="80"/>
  <c r="C38" i="80"/>
  <c r="D7" i="74"/>
  <c r="C30" i="43"/>
  <c r="E30" i="43" s="1"/>
  <c r="C27" i="43" s="1"/>
  <c r="E29" i="43"/>
  <c r="C26" i="43" s="1"/>
  <c r="R19" i="6"/>
  <c r="H27" i="6"/>
  <c r="C35" i="68"/>
  <c r="C38" i="68"/>
  <c r="C38" i="11"/>
  <c r="C35" i="11"/>
  <c r="C48" i="21"/>
  <c r="C49" i="21"/>
  <c r="E52" i="21"/>
  <c r="F52" i="21" s="1"/>
  <c r="E53" i="21"/>
  <c r="F53" i="21" s="1"/>
  <c r="I65" i="40"/>
  <c r="J63" i="40"/>
  <c r="D6" i="71"/>
  <c r="C5" i="71"/>
  <c r="C19" i="68"/>
  <c r="D37" i="68"/>
  <c r="C37" i="68" s="1"/>
  <c r="C19" i="69"/>
  <c r="C24" i="69" s="1"/>
  <c r="D37" i="69"/>
  <c r="C37" i="69" s="1"/>
  <c r="C33" i="69" s="1"/>
  <c r="N48" i="35"/>
  <c r="L46" i="36"/>
  <c r="M46" i="36" s="1"/>
  <c r="N46" i="36" s="1"/>
  <c r="O46" i="36" s="1"/>
  <c r="O52" i="37"/>
  <c r="F7" i="37" s="1"/>
  <c r="J7" i="37"/>
  <c r="C23" i="69"/>
  <c r="F35" i="15"/>
  <c r="F35" i="67"/>
  <c r="E6" i="76"/>
  <c r="M21" i="15"/>
  <c r="M21" i="67"/>
  <c r="D113" i="43" l="1"/>
  <c r="R27" i="6"/>
  <c r="D31" i="6"/>
  <c r="I5" i="6" s="1"/>
  <c r="C34" i="67"/>
  <c r="C31" i="67" s="1"/>
  <c r="F63" i="67"/>
  <c r="C62" i="67" s="1"/>
  <c r="J20" i="67"/>
  <c r="J70" i="39"/>
  <c r="K68" i="39"/>
  <c r="R6" i="1"/>
  <c r="R16" i="1" s="1"/>
  <c r="C33" i="80"/>
  <c r="C42" i="80" s="1"/>
  <c r="C19" i="15"/>
  <c r="C20" i="15" s="1"/>
  <c r="C26" i="15" s="1"/>
  <c r="C16" i="81"/>
  <c r="C21" i="81" s="1"/>
  <c r="C22" i="81" s="1"/>
  <c r="E2" i="76"/>
  <c r="C39" i="80"/>
  <c r="C23" i="67"/>
  <c r="C29" i="67" s="1"/>
  <c r="B2" i="43"/>
  <c r="I6" i="6"/>
  <c r="C20" i="69"/>
  <c r="C25" i="69" s="1"/>
  <c r="C22" i="69" s="1"/>
  <c r="C34" i="15"/>
  <c r="C31" i="15" s="1"/>
  <c r="F63" i="15"/>
  <c r="C62" i="15" s="1"/>
  <c r="J20" i="15"/>
  <c r="C33" i="11"/>
  <c r="C33" i="68"/>
  <c r="C39" i="68" s="1"/>
  <c r="C43" i="68" s="1"/>
  <c r="B2" i="21"/>
  <c r="C8" i="12" s="1"/>
  <c r="B3" i="21"/>
  <c r="C6" i="12" s="1"/>
  <c r="J65" i="40"/>
  <c r="K63" i="40"/>
  <c r="L57" i="67"/>
  <c r="L60" i="67" s="1"/>
  <c r="L46" i="67" s="1"/>
  <c r="AC7" i="37"/>
  <c r="V42" i="37" s="1"/>
  <c r="I42" i="37" s="1"/>
  <c r="W7" i="37"/>
  <c r="F7" i="36"/>
  <c r="C39" i="69"/>
  <c r="C43" i="69" s="1"/>
  <c r="C42" i="69"/>
  <c r="D5" i="71"/>
  <c r="M20" i="43" s="1"/>
  <c r="AA7" i="37"/>
  <c r="R42" i="37" s="1"/>
  <c r="S7" i="37"/>
  <c r="H7" i="36"/>
  <c r="J7" i="36"/>
  <c r="O48" i="35"/>
  <c r="J7" i="35" s="1"/>
  <c r="C24" i="68"/>
  <c r="H7" i="37"/>
  <c r="B6" i="76"/>
  <c r="L68" i="39" l="1"/>
  <c r="K70" i="39"/>
  <c r="C23" i="15"/>
  <c r="C29" i="15" s="1"/>
  <c r="J59" i="15" s="1"/>
  <c r="J60" i="15" s="1"/>
  <c r="L46" i="15" s="1"/>
  <c r="B2" i="76"/>
  <c r="B3" i="76" s="1"/>
  <c r="B3" i="43"/>
  <c r="C46" i="80"/>
  <c r="C45" i="80" s="1"/>
  <c r="C43" i="80"/>
  <c r="C41" i="80" s="1"/>
  <c r="C57" i="67"/>
  <c r="J14" i="67"/>
  <c r="J19" i="67"/>
  <c r="J17" i="67" s="1"/>
  <c r="C13" i="67"/>
  <c r="C36" i="67"/>
  <c r="Q49" i="67"/>
  <c r="C28" i="69"/>
  <c r="C27" i="69" s="1"/>
  <c r="C31" i="69" s="1"/>
  <c r="C39" i="11"/>
  <c r="C43" i="11" s="1"/>
  <c r="C42" i="11"/>
  <c r="C42" i="68"/>
  <c r="C41" i="68" s="1"/>
  <c r="F7" i="35"/>
  <c r="AA7" i="35" s="1"/>
  <c r="R38" i="35" s="1"/>
  <c r="C41" i="69"/>
  <c r="C46" i="68"/>
  <c r="C45" i="68" s="1"/>
  <c r="L63" i="40"/>
  <c r="K65" i="40"/>
  <c r="AB7" i="37"/>
  <c r="T42" i="37" s="1"/>
  <c r="G42" i="37" s="1"/>
  <c r="U7" i="37"/>
  <c r="W7" i="35"/>
  <c r="AC7" i="35"/>
  <c r="V38" i="35" s="1"/>
  <c r="I38" i="35" s="1"/>
  <c r="AB7" i="36"/>
  <c r="T36" i="36" s="1"/>
  <c r="G36" i="36" s="1"/>
  <c r="U7" i="36"/>
  <c r="R43" i="37"/>
  <c r="E42" i="37"/>
  <c r="I47" i="37" s="1"/>
  <c r="J47" i="37" s="1"/>
  <c r="C46" i="69"/>
  <c r="C45" i="69" s="1"/>
  <c r="Q66" i="67"/>
  <c r="Q57" i="67"/>
  <c r="S7" i="35"/>
  <c r="AC7" i="36"/>
  <c r="V36" i="36" s="1"/>
  <c r="I36" i="36" s="1"/>
  <c r="W7" i="36"/>
  <c r="S7" i="36"/>
  <c r="AA7" i="36"/>
  <c r="R36" i="36" s="1"/>
  <c r="I46" i="37"/>
  <c r="J46" i="37" s="1"/>
  <c r="H7" i="35"/>
  <c r="M68" i="39" l="1"/>
  <c r="L70" i="39"/>
  <c r="Q48" i="15"/>
  <c r="C13" i="15"/>
  <c r="C56" i="15" s="1"/>
  <c r="C65" i="15" s="1"/>
  <c r="Q49" i="15"/>
  <c r="J19" i="15"/>
  <c r="J17" i="15" s="1"/>
  <c r="C57" i="15"/>
  <c r="C61" i="15" s="1"/>
  <c r="C59" i="15" s="1"/>
  <c r="C36" i="15"/>
  <c r="J14" i="15"/>
  <c r="J13" i="15" s="1"/>
  <c r="J23" i="15" s="1"/>
  <c r="C49" i="80"/>
  <c r="C51" i="80" s="1"/>
  <c r="C64" i="67"/>
  <c r="C61" i="67"/>
  <c r="C59" i="67" s="1"/>
  <c r="C37" i="67"/>
  <c r="C30" i="67" s="1"/>
  <c r="C39" i="67" s="1"/>
  <c r="Q70" i="67"/>
  <c r="C75" i="67"/>
  <c r="C56" i="67"/>
  <c r="C65" i="67" s="1"/>
  <c r="J13" i="67"/>
  <c r="J23" i="67" s="1"/>
  <c r="J22" i="67"/>
  <c r="J22" i="15"/>
  <c r="C37" i="15"/>
  <c r="C30" i="15" s="1"/>
  <c r="C39" i="15" s="1"/>
  <c r="C40" i="15" s="1"/>
  <c r="C64" i="15"/>
  <c r="Q70" i="15"/>
  <c r="L57" i="15"/>
  <c r="L60" i="15" s="1"/>
  <c r="C46" i="11"/>
  <c r="C45" i="11" s="1"/>
  <c r="C41" i="11"/>
  <c r="C49" i="68"/>
  <c r="C51" i="68" s="1"/>
  <c r="C49" i="69"/>
  <c r="C51" i="69" s="1"/>
  <c r="C52" i="69" s="1"/>
  <c r="B2" i="69" s="1"/>
  <c r="B3" i="69" s="1"/>
  <c r="L65" i="40"/>
  <c r="M63" i="40"/>
  <c r="R37" i="36"/>
  <c r="E36" i="36"/>
  <c r="I41" i="36" s="1"/>
  <c r="J41" i="36" s="1"/>
  <c r="U7" i="35"/>
  <c r="AB7" i="35"/>
  <c r="T38" i="35" s="1"/>
  <c r="G38" i="35" s="1"/>
  <c r="I40" i="36"/>
  <c r="J40" i="36" s="1"/>
  <c r="R39" i="35"/>
  <c r="E38" i="35"/>
  <c r="I43" i="35" s="1"/>
  <c r="J43" i="35" s="1"/>
  <c r="E47" i="37"/>
  <c r="F47" i="37" s="1"/>
  <c r="E46" i="37"/>
  <c r="F46" i="37" s="1"/>
  <c r="I42" i="35"/>
  <c r="J42" i="35" s="1"/>
  <c r="G46" i="37"/>
  <c r="H46" i="37" s="1"/>
  <c r="G47" i="37"/>
  <c r="H47" i="37" s="1"/>
  <c r="C42" i="37"/>
  <c r="C43" i="37"/>
  <c r="B2" i="37" s="1"/>
  <c r="B3" i="37" s="1"/>
  <c r="G40" i="36"/>
  <c r="H40" i="36" s="1"/>
  <c r="G41" i="36"/>
  <c r="H41" i="36" s="1"/>
  <c r="L51" i="67"/>
  <c r="N68" i="39" l="1"/>
  <c r="M70" i="39"/>
  <c r="C75" i="15"/>
  <c r="C80" i="15" s="1"/>
  <c r="C79" i="15" s="1"/>
  <c r="C58" i="15"/>
  <c r="C67" i="15" s="1"/>
  <c r="C68" i="15" s="1"/>
  <c r="C71" i="15" s="1"/>
  <c r="J16" i="15"/>
  <c r="J25" i="15" s="1"/>
  <c r="J16" i="67"/>
  <c r="J25" i="67" s="1"/>
  <c r="Q67" i="67"/>
  <c r="Q69" i="67"/>
  <c r="Q68" i="67" s="1"/>
  <c r="C40" i="67"/>
  <c r="C80" i="67"/>
  <c r="C79" i="67" s="1"/>
  <c r="C58" i="67"/>
  <c r="C67" i="67" s="1"/>
  <c r="C68" i="67" s="1"/>
  <c r="C49" i="11"/>
  <c r="C51" i="11" s="1"/>
  <c r="C52" i="11" s="1"/>
  <c r="B2" i="11" s="1"/>
  <c r="B3" i="11" s="1"/>
  <c r="Q47" i="15"/>
  <c r="Q53" i="15" s="1"/>
  <c r="B2" i="15"/>
  <c r="Q69" i="15"/>
  <c r="Q68" i="15" s="1"/>
  <c r="Q56" i="15"/>
  <c r="C43" i="15"/>
  <c r="Q66" i="15"/>
  <c r="Q57" i="15"/>
  <c r="C83" i="15"/>
  <c r="C82" i="15" s="1"/>
  <c r="Q65" i="15"/>
  <c r="C57" i="69"/>
  <c r="C56" i="69" s="1"/>
  <c r="N63" i="40"/>
  <c r="M65" i="40"/>
  <c r="E43" i="35"/>
  <c r="F43" i="35" s="1"/>
  <c r="E42" i="35"/>
  <c r="F42" i="35" s="1"/>
  <c r="G42" i="35"/>
  <c r="H42" i="35" s="1"/>
  <c r="G43" i="35"/>
  <c r="H43" i="35" s="1"/>
  <c r="E40" i="36"/>
  <c r="F40" i="36" s="1"/>
  <c r="E41" i="36"/>
  <c r="F41" i="36" s="1"/>
  <c r="C39" i="35"/>
  <c r="B2" i="35" s="1"/>
  <c r="B3" i="35" s="1"/>
  <c r="C38" i="35"/>
  <c r="C36" i="36"/>
  <c r="C37" i="36"/>
  <c r="B2" i="36" s="1"/>
  <c r="B3" i="36" s="1"/>
  <c r="L51" i="15"/>
  <c r="Q67" i="15" l="1"/>
  <c r="O68" i="39"/>
  <c r="O70" i="39" s="1"/>
  <c r="N70" i="39"/>
  <c r="J7" i="39" s="1"/>
  <c r="H7" i="39"/>
  <c r="C46" i="15"/>
  <c r="C71" i="67"/>
  <c r="C45" i="67"/>
  <c r="C46" i="67" s="1"/>
  <c r="Q56" i="67"/>
  <c r="Q62" i="67" s="1"/>
  <c r="Q65" i="67"/>
  <c r="Q75" i="67" s="1"/>
  <c r="Q47" i="67"/>
  <c r="Q53" i="67" s="1"/>
  <c r="C43" i="67"/>
  <c r="D2" i="67"/>
  <c r="C83" i="67"/>
  <c r="C82" i="67" s="1"/>
  <c r="Q62" i="15"/>
  <c r="C56" i="11"/>
  <c r="C57" i="11" s="1"/>
  <c r="C4" i="12"/>
  <c r="B3" i="15"/>
  <c r="Q75" i="15"/>
  <c r="O63" i="40"/>
  <c r="O65" i="40" s="1"/>
  <c r="N65" i="40"/>
  <c r="AC7" i="39" l="1"/>
  <c r="V47" i="39" s="1"/>
  <c r="I47" i="39" s="1"/>
  <c r="I51" i="39" s="1"/>
  <c r="J51" i="39" s="1"/>
  <c r="W7" i="39"/>
  <c r="U7" i="39"/>
  <c r="AB7" i="39"/>
  <c r="T47" i="39" s="1"/>
  <c r="G47" i="39" s="1"/>
  <c r="F7" i="39"/>
  <c r="B3" i="67"/>
  <c r="C6" i="81" s="1"/>
  <c r="B2" i="67"/>
  <c r="C31" i="12"/>
  <c r="C23" i="12"/>
  <c r="H7" i="40"/>
  <c r="F7" i="40"/>
  <c r="J7" i="40"/>
  <c r="AO7" i="1"/>
  <c r="G51" i="39" l="1"/>
  <c r="H51" i="39" s="1"/>
  <c r="G52" i="39"/>
  <c r="H52" i="39" s="1"/>
  <c r="S7" i="39"/>
  <c r="AA7" i="39"/>
  <c r="R47" i="39" s="1"/>
  <c r="B7" i="70"/>
  <c r="B2" i="70" s="1"/>
  <c r="B3" i="70" s="1"/>
  <c r="C8" i="81"/>
  <c r="C4" i="81" s="1"/>
  <c r="C27" i="12"/>
  <c r="C25" i="12" s="1"/>
  <c r="C30" i="12"/>
  <c r="C28" i="12" s="1"/>
  <c r="AC7" i="40"/>
  <c r="V42" i="40" s="1"/>
  <c r="I42" i="40" s="1"/>
  <c r="W7" i="40"/>
  <c r="AA7" i="40"/>
  <c r="R42" i="40" s="1"/>
  <c r="S7" i="40"/>
  <c r="U7" i="40"/>
  <c r="AB7" i="40"/>
  <c r="T42" i="40" s="1"/>
  <c r="G42" i="40" s="1"/>
  <c r="E47" i="39" l="1"/>
  <c r="R48" i="39"/>
  <c r="C31" i="81"/>
  <c r="C23" i="81"/>
  <c r="C32" i="12"/>
  <c r="B2" i="12" s="1"/>
  <c r="G47" i="40"/>
  <c r="H47" i="40" s="1"/>
  <c r="G46" i="40"/>
  <c r="H46" i="40" s="1"/>
  <c r="R43" i="40"/>
  <c r="E42" i="40"/>
  <c r="I47" i="40" s="1"/>
  <c r="J47" i="40" s="1"/>
  <c r="I46" i="40"/>
  <c r="J46" i="40" s="1"/>
  <c r="D19" i="9"/>
  <c r="C47" i="39" l="1"/>
  <c r="C48" i="39"/>
  <c r="E52" i="39"/>
  <c r="F52" i="39" s="1"/>
  <c r="I52" i="39"/>
  <c r="J52" i="39" s="1"/>
  <c r="E51" i="39"/>
  <c r="F51" i="39" s="1"/>
  <c r="C30" i="81"/>
  <c r="C28" i="81" s="1"/>
  <c r="C27" i="81"/>
  <c r="C25" i="81" s="1"/>
  <c r="D102" i="9"/>
  <c r="D21" i="9"/>
  <c r="E46" i="40"/>
  <c r="F46" i="40" s="1"/>
  <c r="E47" i="40"/>
  <c r="F47" i="40" s="1"/>
  <c r="C42" i="40"/>
  <c r="C43" i="40"/>
  <c r="B3" i="12"/>
  <c r="B64" i="39" l="1"/>
  <c r="F64" i="39" s="1"/>
  <c r="B65" i="39"/>
  <c r="F65" i="39" s="1"/>
  <c r="B60" i="39"/>
  <c r="F60" i="39" s="1"/>
  <c r="B56" i="39"/>
  <c r="F56" i="39" s="1"/>
  <c r="B57" i="39"/>
  <c r="F57" i="39" s="1"/>
  <c r="B59" i="39"/>
  <c r="F59" i="39" s="1"/>
  <c r="B61" i="39"/>
  <c r="F61" i="39" s="1"/>
  <c r="B58" i="39"/>
  <c r="F58" i="39" s="1"/>
  <c r="B62" i="39"/>
  <c r="F62" i="39" s="1"/>
  <c r="B63" i="39"/>
  <c r="F63" i="39" s="1"/>
  <c r="C6" i="68"/>
  <c r="C7" i="68" s="1"/>
  <c r="C5" i="68" s="1"/>
  <c r="C6" i="80"/>
  <c r="C7" i="80" s="1"/>
  <c r="C5" i="80" s="1"/>
  <c r="C32" i="81"/>
  <c r="B2" i="81" s="1"/>
  <c r="B53" i="40"/>
  <c r="F53" i="40" s="1"/>
  <c r="B59" i="40"/>
  <c r="F59" i="40" s="1"/>
  <c r="B55" i="40"/>
  <c r="F55" i="40" s="1"/>
  <c r="B58" i="40"/>
  <c r="F58" i="40" s="1"/>
  <c r="B54" i="40"/>
  <c r="F54" i="40" s="1"/>
  <c r="B57" i="40"/>
  <c r="F57" i="40" s="1"/>
  <c r="B51" i="40"/>
  <c r="F51" i="40" s="1"/>
  <c r="B52" i="40"/>
  <c r="F52" i="40" s="1"/>
  <c r="B56" i="40"/>
  <c r="F56" i="40" s="1"/>
  <c r="B60" i="40"/>
  <c r="F60" i="40" s="1"/>
  <c r="F61" i="40"/>
  <c r="B2" i="40" s="1"/>
  <c r="B3" i="40" s="1"/>
  <c r="D19" i="82"/>
  <c r="B3" i="81"/>
  <c r="D20" i="9"/>
  <c r="C20" i="80" l="1"/>
  <c r="C23" i="80"/>
  <c r="C28" i="80"/>
  <c r="C27" i="80" s="1"/>
  <c r="F66" i="39"/>
  <c r="B2" i="39" s="1"/>
  <c r="B3" i="39" s="1"/>
  <c r="D102" i="82"/>
  <c r="D21" i="82"/>
  <c r="D103" i="9"/>
  <c r="C23" i="68"/>
  <c r="C20" i="68"/>
  <c r="C25" i="68" s="1"/>
  <c r="D20" i="82"/>
  <c r="C25" i="80" l="1"/>
  <c r="C22" i="80" s="1"/>
  <c r="C31" i="80" s="1"/>
  <c r="C52" i="80" s="1"/>
  <c r="D103" i="82"/>
  <c r="C28" i="68"/>
  <c r="C27" i="68" s="1"/>
  <c r="C22" i="68"/>
  <c r="B2" i="80" l="1"/>
  <c r="C57" i="80"/>
  <c r="C56" i="80" s="1"/>
  <c r="C31" i="68"/>
  <c r="C52" i="68" s="1"/>
  <c r="B3" i="80"/>
  <c r="B2" i="68" l="1"/>
  <c r="C57" i="68"/>
  <c r="C56" i="68" s="1"/>
  <c r="C19" i="82"/>
  <c r="C19" i="9"/>
  <c r="G19" i="82" l="1"/>
  <c r="C102" i="82"/>
  <c r="D22" i="82"/>
  <c r="C21" i="82"/>
  <c r="C102" i="9"/>
  <c r="C21" i="9"/>
  <c r="G19" i="9"/>
  <c r="D22" i="9"/>
  <c r="B3" i="68"/>
  <c r="D34" i="82"/>
  <c r="C20" i="82"/>
  <c r="D34" i="9"/>
  <c r="C20" i="9"/>
  <c r="G20" i="82" l="1"/>
  <c r="C32" i="82" s="1"/>
  <c r="C103" i="82"/>
  <c r="G21" i="82"/>
  <c r="G20" i="9"/>
  <c r="C32" i="9" s="1"/>
  <c r="C103" i="9"/>
  <c r="G21" i="9"/>
  <c r="D35" i="82"/>
  <c r="D35" i="9"/>
  <c r="F35" i="6" l="1"/>
  <c r="E475" i="85"/>
  <c r="E2" i="85"/>
  <c r="E3" i="85"/>
  <c r="E5" i="85"/>
  <c r="E7" i="85"/>
  <c r="E9" i="85"/>
  <c r="E11" i="85"/>
  <c r="E13" i="85"/>
  <c r="E15" i="85"/>
  <c r="E17" i="85"/>
  <c r="E19" i="85"/>
  <c r="E21" i="85"/>
  <c r="E23" i="85"/>
  <c r="E25" i="85"/>
  <c r="E27" i="85"/>
  <c r="E29" i="85"/>
  <c r="E31" i="85"/>
  <c r="E33" i="85"/>
  <c r="E35" i="85"/>
  <c r="E37" i="85"/>
  <c r="E39" i="85"/>
  <c r="E41" i="85"/>
  <c r="E43" i="85"/>
  <c r="E45" i="85"/>
  <c r="E47" i="85"/>
  <c r="E49" i="85"/>
  <c r="E51" i="85"/>
  <c r="E53" i="85"/>
  <c r="E55" i="85"/>
  <c r="E57" i="85"/>
  <c r="E59" i="85"/>
  <c r="E61" i="85"/>
  <c r="E63" i="85"/>
  <c r="E65" i="85"/>
  <c r="E67" i="85"/>
  <c r="E69" i="85"/>
  <c r="E71" i="85"/>
  <c r="E73" i="85"/>
  <c r="E75" i="85"/>
  <c r="E77" i="85"/>
  <c r="E79" i="85"/>
  <c r="E81" i="85"/>
  <c r="E83" i="85"/>
  <c r="E85" i="85"/>
  <c r="E87" i="85"/>
  <c r="E89" i="85"/>
  <c r="E91" i="85"/>
  <c r="E93" i="85"/>
  <c r="E95" i="85"/>
  <c r="E97" i="85"/>
  <c r="E99" i="85"/>
  <c r="E101" i="85"/>
  <c r="E103" i="85"/>
  <c r="E105" i="85"/>
  <c r="E107" i="85"/>
  <c r="E109" i="85"/>
  <c r="E111" i="85"/>
  <c r="E113" i="85"/>
  <c r="E115" i="85"/>
  <c r="E117" i="85"/>
  <c r="E119" i="85"/>
  <c r="E121" i="85"/>
  <c r="E123" i="85"/>
  <c r="E125" i="85"/>
  <c r="E127" i="85"/>
  <c r="E129" i="85"/>
  <c r="E131" i="85"/>
  <c r="E133" i="85"/>
  <c r="E135" i="85"/>
  <c r="E137" i="85"/>
  <c r="E139" i="85"/>
  <c r="E141" i="85"/>
  <c r="E143" i="85"/>
  <c r="E145" i="85"/>
  <c r="E147" i="85"/>
  <c r="E149" i="85"/>
  <c r="E151" i="85"/>
  <c r="E153" i="85"/>
  <c r="E155" i="85"/>
  <c r="E157" i="85"/>
  <c r="E159" i="85"/>
  <c r="E161" i="85"/>
  <c r="E163" i="85"/>
  <c r="E165" i="85"/>
  <c r="E167" i="85"/>
  <c r="G167" i="85" s="1"/>
  <c r="E170" i="85"/>
  <c r="E172" i="85"/>
  <c r="E4" i="85"/>
  <c r="E8" i="85"/>
  <c r="E12" i="85"/>
  <c r="E16" i="85"/>
  <c r="E20" i="85"/>
  <c r="E24" i="85"/>
  <c r="E28" i="85"/>
  <c r="E32" i="85"/>
  <c r="E36" i="85"/>
  <c r="E40" i="85"/>
  <c r="E44" i="85"/>
  <c r="E48" i="85"/>
  <c r="E52" i="85"/>
  <c r="E56" i="85"/>
  <c r="E60" i="85"/>
  <c r="E64" i="85"/>
  <c r="E68" i="85"/>
  <c r="E72" i="85"/>
  <c r="E76" i="85"/>
  <c r="E80" i="85"/>
  <c r="E84" i="85"/>
  <c r="E88" i="85"/>
  <c r="E92" i="85"/>
  <c r="E96" i="85"/>
  <c r="E100" i="85"/>
  <c r="E104" i="85"/>
  <c r="E108" i="85"/>
  <c r="E112" i="85"/>
  <c r="E116" i="85"/>
  <c r="E120" i="85"/>
  <c r="E124" i="85"/>
  <c r="E128" i="85"/>
  <c r="E132" i="85"/>
  <c r="E136" i="85"/>
  <c r="E140" i="85"/>
  <c r="E144" i="85"/>
  <c r="E148" i="85"/>
  <c r="E152" i="85"/>
  <c r="E156" i="85"/>
  <c r="E160" i="85"/>
  <c r="E164" i="85"/>
  <c r="E169" i="85"/>
  <c r="E173" i="85"/>
  <c r="E175" i="85"/>
  <c r="E177" i="85"/>
  <c r="E179" i="85"/>
  <c r="E181" i="85"/>
  <c r="E183" i="85"/>
  <c r="E185" i="85"/>
  <c r="E187" i="85"/>
  <c r="E189" i="85"/>
  <c r="E191" i="85"/>
  <c r="E193" i="85"/>
  <c r="E195" i="85"/>
  <c r="E197" i="85"/>
  <c r="E199" i="85"/>
  <c r="E201" i="85"/>
  <c r="E203" i="85"/>
  <c r="E205" i="85"/>
  <c r="E207" i="85"/>
  <c r="E209" i="85"/>
  <c r="E211" i="85"/>
  <c r="E213" i="85"/>
  <c r="E215" i="85"/>
  <c r="E217" i="85"/>
  <c r="E219" i="85"/>
  <c r="E221" i="85"/>
  <c r="E223" i="85"/>
  <c r="E225" i="85"/>
  <c r="E227" i="85"/>
  <c r="E229" i="85"/>
  <c r="E231" i="85"/>
  <c r="E233" i="85"/>
  <c r="E235" i="85"/>
  <c r="E237" i="85"/>
  <c r="E239" i="85"/>
  <c r="E241" i="85"/>
  <c r="E243" i="85"/>
  <c r="E245" i="85"/>
  <c r="E247" i="85"/>
  <c r="E249" i="85"/>
  <c r="E251" i="85"/>
  <c r="E253" i="85"/>
  <c r="E255" i="85"/>
  <c r="E257" i="85"/>
  <c r="E259" i="85"/>
  <c r="E261" i="85"/>
  <c r="E263" i="85"/>
  <c r="E265" i="85"/>
  <c r="E267" i="85"/>
  <c r="E269" i="85"/>
  <c r="E271" i="85"/>
  <c r="E273" i="85"/>
  <c r="E275" i="85"/>
  <c r="E277" i="85"/>
  <c r="E279" i="85"/>
  <c r="E281" i="85"/>
  <c r="E283" i="85"/>
  <c r="E285" i="85"/>
  <c r="E287" i="85"/>
  <c r="E289" i="85"/>
  <c r="E291" i="85"/>
  <c r="E293" i="85"/>
  <c r="E295" i="85"/>
  <c r="E297" i="85"/>
  <c r="E299" i="85"/>
  <c r="E301" i="85"/>
  <c r="E303" i="85"/>
  <c r="E305" i="85"/>
  <c r="E307" i="85"/>
  <c r="E309" i="85"/>
  <c r="E311" i="85"/>
  <c r="E313" i="85"/>
  <c r="E315" i="85"/>
  <c r="E317" i="85"/>
  <c r="E319" i="85"/>
  <c r="E321" i="85"/>
  <c r="E323" i="85"/>
  <c r="E325" i="85"/>
  <c r="E327" i="85"/>
  <c r="E329" i="85"/>
  <c r="E331" i="85"/>
  <c r="E333" i="85"/>
  <c r="E335" i="85"/>
  <c r="E337" i="85"/>
  <c r="E339" i="85"/>
  <c r="E341" i="85"/>
  <c r="E343" i="85"/>
  <c r="E345" i="85"/>
  <c r="E347" i="85"/>
  <c r="E349" i="85"/>
  <c r="E351" i="85"/>
  <c r="E353" i="85"/>
  <c r="E355" i="85"/>
  <c r="E357" i="85"/>
  <c r="E359" i="85"/>
  <c r="E361" i="85"/>
  <c r="E363" i="85"/>
  <c r="E365" i="85"/>
  <c r="E367" i="85"/>
  <c r="E369" i="85"/>
  <c r="E371" i="85"/>
  <c r="D371" i="85" s="1"/>
  <c r="E373" i="85"/>
  <c r="D373" i="85" s="1"/>
  <c r="E375" i="85"/>
  <c r="D375" i="85" s="1"/>
  <c r="E377" i="85"/>
  <c r="D377" i="85" s="1"/>
  <c r="E379" i="85"/>
  <c r="D379" i="85" s="1"/>
  <c r="E381" i="85"/>
  <c r="D381" i="85" s="1"/>
  <c r="E383" i="85"/>
  <c r="D383" i="85" s="1"/>
  <c r="E385" i="85"/>
  <c r="D385" i="85" s="1"/>
  <c r="E387" i="85"/>
  <c r="D387" i="85" s="1"/>
  <c r="E389" i="85"/>
  <c r="D389" i="85" s="1"/>
  <c r="E391" i="85"/>
  <c r="D391" i="85" s="1"/>
  <c r="E393" i="85"/>
  <c r="D393" i="85" s="1"/>
  <c r="E395" i="85"/>
  <c r="D395" i="85" s="1"/>
  <c r="E397" i="85"/>
  <c r="D397" i="85" s="1"/>
  <c r="E399" i="85"/>
  <c r="D399" i="85" s="1"/>
  <c r="E401" i="85"/>
  <c r="D401" i="85" s="1"/>
  <c r="E403" i="85"/>
  <c r="D403" i="85" s="1"/>
  <c r="E405" i="85"/>
  <c r="D405" i="85" s="1"/>
  <c r="E407" i="85"/>
  <c r="D407" i="85" s="1"/>
  <c r="E409" i="85"/>
  <c r="D409" i="85" s="1"/>
  <c r="E411" i="85"/>
  <c r="D411" i="85" s="1"/>
  <c r="E413" i="85"/>
  <c r="D413" i="85" s="1"/>
  <c r="E415" i="85"/>
  <c r="D415" i="85" s="1"/>
  <c r="E417" i="85"/>
  <c r="D417" i="85" s="1"/>
  <c r="E419" i="85"/>
  <c r="D419" i="85" s="1"/>
  <c r="E421" i="85"/>
  <c r="D421" i="85" s="1"/>
  <c r="E423" i="85"/>
  <c r="D423" i="85" s="1"/>
  <c r="E425" i="85"/>
  <c r="D425" i="85" s="1"/>
  <c r="E427" i="85"/>
  <c r="D427" i="85" s="1"/>
  <c r="E6" i="85"/>
  <c r="E14" i="85"/>
  <c r="E22" i="85"/>
  <c r="E30" i="85"/>
  <c r="E38" i="85"/>
  <c r="E46" i="85"/>
  <c r="E54" i="85"/>
  <c r="E62" i="85"/>
  <c r="E70" i="85"/>
  <c r="E78" i="85"/>
  <c r="E86" i="85"/>
  <c r="E94" i="85"/>
  <c r="E102" i="85"/>
  <c r="E110" i="85"/>
  <c r="E118" i="85"/>
  <c r="E126" i="85"/>
  <c r="E134" i="85"/>
  <c r="E142" i="85"/>
  <c r="E150" i="85"/>
  <c r="E158" i="85"/>
  <c r="E166" i="85"/>
  <c r="E174" i="85"/>
  <c r="E178" i="85"/>
  <c r="E182" i="85"/>
  <c r="E186" i="85"/>
  <c r="E190" i="85"/>
  <c r="E194" i="85"/>
  <c r="E198" i="85"/>
  <c r="E202" i="85"/>
  <c r="E206" i="85"/>
  <c r="E210" i="85"/>
  <c r="E214" i="85"/>
  <c r="E218" i="85"/>
  <c r="E222" i="85"/>
  <c r="E226" i="85"/>
  <c r="E230" i="85"/>
  <c r="E234" i="85"/>
  <c r="E238" i="85"/>
  <c r="E242" i="85"/>
  <c r="E246" i="85"/>
  <c r="E250" i="85"/>
  <c r="E254" i="85"/>
  <c r="E258" i="85"/>
  <c r="E262" i="85"/>
  <c r="E266" i="85"/>
  <c r="E270" i="85"/>
  <c r="E274" i="85"/>
  <c r="E278" i="85"/>
  <c r="E282" i="85"/>
  <c r="E286" i="85"/>
  <c r="E290" i="85"/>
  <c r="E294" i="85"/>
  <c r="E298" i="85"/>
  <c r="E302" i="85"/>
  <c r="E306" i="85"/>
  <c r="E310" i="85"/>
  <c r="E314" i="85"/>
  <c r="E318" i="85"/>
  <c r="E322" i="85"/>
  <c r="E326" i="85"/>
  <c r="E330" i="85"/>
  <c r="E334" i="85"/>
  <c r="E338" i="85"/>
  <c r="E342" i="85"/>
  <c r="E346" i="85"/>
  <c r="E350" i="85"/>
  <c r="E354" i="85"/>
  <c r="E358" i="85"/>
  <c r="E362" i="85"/>
  <c r="E366" i="85"/>
  <c r="E370" i="85"/>
  <c r="D370" i="85" s="1"/>
  <c r="E374" i="85"/>
  <c r="D374" i="85" s="1"/>
  <c r="E378" i="85"/>
  <c r="D378" i="85" s="1"/>
  <c r="E382" i="85"/>
  <c r="D382" i="85" s="1"/>
  <c r="E386" i="85"/>
  <c r="D386" i="85" s="1"/>
  <c r="E390" i="85"/>
  <c r="D390" i="85" s="1"/>
  <c r="E394" i="85"/>
  <c r="D394" i="85" s="1"/>
  <c r="E398" i="85"/>
  <c r="D398" i="85" s="1"/>
  <c r="E402" i="85"/>
  <c r="D402" i="85" s="1"/>
  <c r="E406" i="85"/>
  <c r="D406" i="85" s="1"/>
  <c r="E410" i="85"/>
  <c r="D410" i="85" s="1"/>
  <c r="E414" i="85"/>
  <c r="D414" i="85" s="1"/>
  <c r="E418" i="85"/>
  <c r="D418" i="85" s="1"/>
  <c r="E422" i="85"/>
  <c r="D422" i="85" s="1"/>
  <c r="E426" i="85"/>
  <c r="D426" i="85" s="1"/>
  <c r="E429" i="85"/>
  <c r="D429" i="85" s="1"/>
  <c r="E431" i="85"/>
  <c r="D431" i="85" s="1"/>
  <c r="E433" i="85"/>
  <c r="D433" i="85" s="1"/>
  <c r="E435" i="85"/>
  <c r="D435" i="85" s="1"/>
  <c r="E437" i="85"/>
  <c r="D437" i="85" s="1"/>
  <c r="E439" i="85"/>
  <c r="D439" i="85" s="1"/>
  <c r="E441" i="85"/>
  <c r="D441" i="85" s="1"/>
  <c r="E443" i="85"/>
  <c r="D443" i="85" s="1"/>
  <c r="E445" i="85"/>
  <c r="D445" i="85" s="1"/>
  <c r="E447" i="85"/>
  <c r="D447" i="85" s="1"/>
  <c r="E449" i="85"/>
  <c r="D449" i="85" s="1"/>
  <c r="E451" i="85"/>
  <c r="D451" i="85" s="1"/>
  <c r="E453" i="85"/>
  <c r="D453" i="85" s="1"/>
  <c r="E455" i="85"/>
  <c r="D455" i="85" s="1"/>
  <c r="E457" i="85"/>
  <c r="D457" i="85" s="1"/>
  <c r="E459" i="85"/>
  <c r="D459" i="85" s="1"/>
  <c r="E461" i="85"/>
  <c r="D461" i="85" s="1"/>
  <c r="E463" i="85"/>
  <c r="D463" i="85" s="1"/>
  <c r="E465" i="85"/>
  <c r="D465" i="85" s="1"/>
  <c r="E467" i="85"/>
  <c r="D467" i="85" s="1"/>
  <c r="E469" i="85"/>
  <c r="D469" i="85" s="1"/>
  <c r="E471" i="85"/>
  <c r="D471" i="85" s="1"/>
  <c r="E10" i="85"/>
  <c r="E18" i="85"/>
  <c r="E26" i="85"/>
  <c r="E34" i="85"/>
  <c r="E42" i="85"/>
  <c r="E50" i="85"/>
  <c r="E58" i="85"/>
  <c r="E66" i="85"/>
  <c r="E74" i="85"/>
  <c r="E82" i="85"/>
  <c r="G82" i="85" s="1"/>
  <c r="E90" i="85"/>
  <c r="E98" i="85"/>
  <c r="E106" i="85"/>
  <c r="E114" i="85"/>
  <c r="E122" i="85"/>
  <c r="E130" i="85"/>
  <c r="E138" i="85"/>
  <c r="E146" i="85"/>
  <c r="E154" i="85"/>
  <c r="E162" i="85"/>
  <c r="E171" i="85"/>
  <c r="E176" i="85"/>
  <c r="E180" i="85"/>
  <c r="E184" i="85"/>
  <c r="E188" i="85"/>
  <c r="E192" i="85"/>
  <c r="E196" i="85"/>
  <c r="E200" i="85"/>
  <c r="E204" i="85"/>
  <c r="E208" i="85"/>
  <c r="E212" i="85"/>
  <c r="E216" i="85"/>
  <c r="E220" i="85"/>
  <c r="E224" i="85"/>
  <c r="E228" i="85"/>
  <c r="E232" i="85"/>
  <c r="E236" i="85"/>
  <c r="E240" i="85"/>
  <c r="E244" i="85"/>
  <c r="E248" i="85"/>
  <c r="E252" i="85"/>
  <c r="E256" i="85"/>
  <c r="E260" i="85"/>
  <c r="E264" i="85"/>
  <c r="E268" i="85"/>
  <c r="E272" i="85"/>
  <c r="E276" i="85"/>
  <c r="E280" i="85"/>
  <c r="E284" i="85"/>
  <c r="E288" i="85"/>
  <c r="E292" i="85"/>
  <c r="E296" i="85"/>
  <c r="E300" i="85"/>
  <c r="E304" i="85"/>
  <c r="E308" i="85"/>
  <c r="E312" i="85"/>
  <c r="E316" i="85"/>
  <c r="E320" i="85"/>
  <c r="E324" i="85"/>
  <c r="E328" i="85"/>
  <c r="E332" i="85"/>
  <c r="E336" i="85"/>
  <c r="E340" i="85"/>
  <c r="E344" i="85"/>
  <c r="E348" i="85"/>
  <c r="E352" i="85"/>
  <c r="E356" i="85"/>
  <c r="E360" i="85"/>
  <c r="E364" i="85"/>
  <c r="E368" i="85"/>
  <c r="E372" i="85"/>
  <c r="D372" i="85" s="1"/>
  <c r="E376" i="85"/>
  <c r="D376" i="85" s="1"/>
  <c r="E380" i="85"/>
  <c r="D380" i="85" s="1"/>
  <c r="E384" i="85"/>
  <c r="D384" i="85" s="1"/>
  <c r="E388" i="85"/>
  <c r="D388" i="85" s="1"/>
  <c r="E392" i="85"/>
  <c r="D392" i="85" s="1"/>
  <c r="E396" i="85"/>
  <c r="D396" i="85" s="1"/>
  <c r="E400" i="85"/>
  <c r="D400" i="85" s="1"/>
  <c r="E404" i="85"/>
  <c r="D404" i="85" s="1"/>
  <c r="E408" i="85"/>
  <c r="D408" i="85" s="1"/>
  <c r="E412" i="85"/>
  <c r="D412" i="85" s="1"/>
  <c r="E416" i="85"/>
  <c r="D416" i="85" s="1"/>
  <c r="E420" i="85"/>
  <c r="D420" i="85" s="1"/>
  <c r="E424" i="85"/>
  <c r="D424" i="85" s="1"/>
  <c r="E428" i="85"/>
  <c r="D428" i="85" s="1"/>
  <c r="E430" i="85"/>
  <c r="D430" i="85" s="1"/>
  <c r="E432" i="85"/>
  <c r="D432" i="85" s="1"/>
  <c r="E434" i="85"/>
  <c r="D434" i="85" s="1"/>
  <c r="E436" i="85"/>
  <c r="D436" i="85" s="1"/>
  <c r="E438" i="85"/>
  <c r="D438" i="85" s="1"/>
  <c r="E440" i="85"/>
  <c r="D440" i="85" s="1"/>
  <c r="E442" i="85"/>
  <c r="D442" i="85" s="1"/>
  <c r="E444" i="85"/>
  <c r="D444" i="85" s="1"/>
  <c r="E446" i="85"/>
  <c r="D446" i="85" s="1"/>
  <c r="E448" i="85"/>
  <c r="D448" i="85" s="1"/>
  <c r="E450" i="85"/>
  <c r="D450" i="85" s="1"/>
  <c r="E452" i="85"/>
  <c r="D452" i="85" s="1"/>
  <c r="E454" i="85"/>
  <c r="D454" i="85" s="1"/>
  <c r="E456" i="85"/>
  <c r="D456" i="85" s="1"/>
  <c r="E458" i="85"/>
  <c r="D458" i="85" s="1"/>
  <c r="E460" i="85"/>
  <c r="D460" i="85" s="1"/>
  <c r="E462" i="85"/>
  <c r="D462" i="85" s="1"/>
  <c r="E464" i="85"/>
  <c r="D464" i="85" s="1"/>
  <c r="E466" i="85"/>
  <c r="D466" i="85" s="1"/>
  <c r="E468" i="85"/>
  <c r="D468" i="85" s="1"/>
  <c r="E470" i="85"/>
  <c r="D470" i="85" s="1"/>
  <c r="E472" i="85"/>
  <c r="D472" i="85" s="1"/>
  <c r="C35" i="82"/>
  <c r="C35" i="9"/>
  <c r="D369" i="85" l="1"/>
  <c r="D473" i="85" s="1"/>
  <c r="D490" i="85" s="1"/>
  <c r="D364" i="85"/>
  <c r="F364" i="85" s="1"/>
  <c r="G364" i="85"/>
  <c r="D356" i="85"/>
  <c r="F356" i="85" s="1"/>
  <c r="G356" i="85"/>
  <c r="D348" i="85"/>
  <c r="F348" i="85" s="1"/>
  <c r="G348" i="85"/>
  <c r="D340" i="85"/>
  <c r="F340" i="85" s="1"/>
  <c r="G340" i="85"/>
  <c r="D332" i="85"/>
  <c r="F332" i="85" s="1"/>
  <c r="G332" i="85"/>
  <c r="D324" i="85"/>
  <c r="F324" i="85" s="1"/>
  <c r="G324" i="85"/>
  <c r="D316" i="85"/>
  <c r="F316" i="85" s="1"/>
  <c r="G316" i="85"/>
  <c r="D308" i="85"/>
  <c r="F308" i="85" s="1"/>
  <c r="G308" i="85"/>
  <c r="D300" i="85"/>
  <c r="F300" i="85" s="1"/>
  <c r="G300" i="85"/>
  <c r="D292" i="85"/>
  <c r="F292" i="85" s="1"/>
  <c r="G292" i="85"/>
  <c r="D284" i="85"/>
  <c r="F284" i="85" s="1"/>
  <c r="G284" i="85"/>
  <c r="D276" i="85"/>
  <c r="F276" i="85" s="1"/>
  <c r="G276" i="85"/>
  <c r="D268" i="85"/>
  <c r="F268" i="85" s="1"/>
  <c r="G268" i="85"/>
  <c r="D366" i="85"/>
  <c r="F366" i="85" s="1"/>
  <c r="G366" i="85"/>
  <c r="D358" i="85"/>
  <c r="F358" i="85" s="1"/>
  <c r="G358" i="85"/>
  <c r="D350" i="85"/>
  <c r="F350" i="85" s="1"/>
  <c r="G350" i="85"/>
  <c r="D342" i="85"/>
  <c r="F342" i="85" s="1"/>
  <c r="G342" i="85"/>
  <c r="D334" i="85"/>
  <c r="F334" i="85" s="1"/>
  <c r="G334" i="85"/>
  <c r="D326" i="85"/>
  <c r="F326" i="85" s="1"/>
  <c r="G326" i="85"/>
  <c r="D318" i="85"/>
  <c r="F318" i="85" s="1"/>
  <c r="G318" i="85"/>
  <c r="D310" i="85"/>
  <c r="F310" i="85" s="1"/>
  <c r="G310" i="85"/>
  <c r="D302" i="85"/>
  <c r="F302" i="85" s="1"/>
  <c r="G302" i="85"/>
  <c r="D294" i="85"/>
  <c r="F294" i="85" s="1"/>
  <c r="G294" i="85"/>
  <c r="D286" i="85"/>
  <c r="F286" i="85" s="1"/>
  <c r="G286" i="85"/>
  <c r="D278" i="85"/>
  <c r="F278" i="85" s="1"/>
  <c r="G278" i="85"/>
  <c r="D270" i="85"/>
  <c r="F270" i="85" s="1"/>
  <c r="G270" i="85"/>
  <c r="D367" i="85"/>
  <c r="F367" i="85" s="1"/>
  <c r="G367" i="85"/>
  <c r="D363" i="85"/>
  <c r="F363" i="85" s="1"/>
  <c r="G363" i="85"/>
  <c r="D359" i="85"/>
  <c r="F359" i="85" s="1"/>
  <c r="G359" i="85"/>
  <c r="D355" i="85"/>
  <c r="F355" i="85" s="1"/>
  <c r="G355" i="85"/>
  <c r="D351" i="85"/>
  <c r="F351" i="85" s="1"/>
  <c r="G351" i="85"/>
  <c r="D347" i="85"/>
  <c r="F347" i="85" s="1"/>
  <c r="G347" i="85"/>
  <c r="D343" i="85"/>
  <c r="F343" i="85" s="1"/>
  <c r="G343" i="85"/>
  <c r="D339" i="85"/>
  <c r="F339" i="85" s="1"/>
  <c r="G339" i="85"/>
  <c r="D335" i="85"/>
  <c r="F335" i="85" s="1"/>
  <c r="G335" i="85"/>
  <c r="D331" i="85"/>
  <c r="F331" i="85" s="1"/>
  <c r="G331" i="85"/>
  <c r="D327" i="85"/>
  <c r="F327" i="85" s="1"/>
  <c r="G327" i="85"/>
  <c r="D323" i="85"/>
  <c r="F323" i="85" s="1"/>
  <c r="G323" i="85"/>
  <c r="D319" i="85"/>
  <c r="F319" i="85" s="1"/>
  <c r="G319" i="85"/>
  <c r="D315" i="85"/>
  <c r="F315" i="85" s="1"/>
  <c r="G315" i="85"/>
  <c r="D311" i="85"/>
  <c r="F311" i="85" s="1"/>
  <c r="G311" i="85"/>
  <c r="D307" i="85"/>
  <c r="F307" i="85" s="1"/>
  <c r="G307" i="85"/>
  <c r="D303" i="85"/>
  <c r="F303" i="85" s="1"/>
  <c r="G303" i="85"/>
  <c r="D299" i="85"/>
  <c r="F299" i="85" s="1"/>
  <c r="G299" i="85"/>
  <c r="D295" i="85"/>
  <c r="F295" i="85" s="1"/>
  <c r="G295" i="85"/>
  <c r="D291" i="85"/>
  <c r="F291" i="85" s="1"/>
  <c r="G291" i="85"/>
  <c r="D287" i="85"/>
  <c r="F287" i="85" s="1"/>
  <c r="G287" i="85"/>
  <c r="D283" i="85"/>
  <c r="F283" i="85" s="1"/>
  <c r="G283" i="85"/>
  <c r="D279" i="85"/>
  <c r="F279" i="85" s="1"/>
  <c r="G279" i="85"/>
  <c r="D275" i="85"/>
  <c r="F275" i="85" s="1"/>
  <c r="G275" i="85"/>
  <c r="D271" i="85"/>
  <c r="F271" i="85" s="1"/>
  <c r="G271" i="85"/>
  <c r="D267" i="85"/>
  <c r="F267" i="85" s="1"/>
  <c r="G267" i="85"/>
  <c r="D263" i="85"/>
  <c r="F263" i="85" s="1"/>
  <c r="G263" i="85"/>
  <c r="D360" i="85"/>
  <c r="F360" i="85" s="1"/>
  <c r="G360" i="85"/>
  <c r="D352" i="85"/>
  <c r="F352" i="85" s="1"/>
  <c r="G352" i="85"/>
  <c r="D344" i="85"/>
  <c r="F344" i="85" s="1"/>
  <c r="G344" i="85"/>
  <c r="D336" i="85"/>
  <c r="F336" i="85" s="1"/>
  <c r="G336" i="85"/>
  <c r="D328" i="85"/>
  <c r="F328" i="85" s="1"/>
  <c r="G328" i="85"/>
  <c r="D320" i="85"/>
  <c r="F320" i="85" s="1"/>
  <c r="G320" i="85"/>
  <c r="D312" i="85"/>
  <c r="F312" i="85" s="1"/>
  <c r="G312" i="85"/>
  <c r="D304" i="85"/>
  <c r="F304" i="85" s="1"/>
  <c r="G304" i="85"/>
  <c r="D296" i="85"/>
  <c r="F296" i="85" s="1"/>
  <c r="G296" i="85"/>
  <c r="D288" i="85"/>
  <c r="F288" i="85" s="1"/>
  <c r="G288" i="85"/>
  <c r="D280" i="85"/>
  <c r="F280" i="85" s="1"/>
  <c r="G280" i="85"/>
  <c r="D272" i="85"/>
  <c r="F272" i="85" s="1"/>
  <c r="G272" i="85"/>
  <c r="D264" i="85"/>
  <c r="F264" i="85" s="1"/>
  <c r="G264" i="85"/>
  <c r="D362" i="85"/>
  <c r="F362" i="85" s="1"/>
  <c r="G362" i="85"/>
  <c r="D354" i="85"/>
  <c r="F354" i="85" s="1"/>
  <c r="G354" i="85"/>
  <c r="D346" i="85"/>
  <c r="F346" i="85" s="1"/>
  <c r="G346" i="85"/>
  <c r="D338" i="85"/>
  <c r="F338" i="85" s="1"/>
  <c r="G338" i="85"/>
  <c r="D330" i="85"/>
  <c r="F330" i="85" s="1"/>
  <c r="G330" i="85"/>
  <c r="D322" i="85"/>
  <c r="F322" i="85" s="1"/>
  <c r="G322" i="85"/>
  <c r="D314" i="85"/>
  <c r="F314" i="85" s="1"/>
  <c r="G314" i="85"/>
  <c r="D306" i="85"/>
  <c r="F306" i="85" s="1"/>
  <c r="G306" i="85"/>
  <c r="D298" i="85"/>
  <c r="F298" i="85" s="1"/>
  <c r="G298" i="85"/>
  <c r="D290" i="85"/>
  <c r="F290" i="85" s="1"/>
  <c r="G290" i="85"/>
  <c r="D282" i="85"/>
  <c r="F282" i="85" s="1"/>
  <c r="G282" i="85"/>
  <c r="D274" i="85"/>
  <c r="F274" i="85" s="1"/>
  <c r="G274" i="85"/>
  <c r="D266" i="85"/>
  <c r="F266" i="85" s="1"/>
  <c r="G266" i="85"/>
  <c r="D365" i="85"/>
  <c r="F365" i="85" s="1"/>
  <c r="G365" i="85"/>
  <c r="D361" i="85"/>
  <c r="F361" i="85" s="1"/>
  <c r="G361" i="85"/>
  <c r="D357" i="85"/>
  <c r="F357" i="85" s="1"/>
  <c r="G357" i="85"/>
  <c r="D353" i="85"/>
  <c r="F353" i="85" s="1"/>
  <c r="G353" i="85"/>
  <c r="D349" i="85"/>
  <c r="F349" i="85" s="1"/>
  <c r="G349" i="85"/>
  <c r="D345" i="85"/>
  <c r="F345" i="85" s="1"/>
  <c r="G345" i="85"/>
  <c r="D341" i="85"/>
  <c r="F341" i="85" s="1"/>
  <c r="G341" i="85"/>
  <c r="D337" i="85"/>
  <c r="F337" i="85" s="1"/>
  <c r="G337" i="85"/>
  <c r="D333" i="85"/>
  <c r="F333" i="85" s="1"/>
  <c r="G333" i="85"/>
  <c r="D329" i="85"/>
  <c r="F329" i="85" s="1"/>
  <c r="G329" i="85"/>
  <c r="D325" i="85"/>
  <c r="F325" i="85" s="1"/>
  <c r="G325" i="85"/>
  <c r="D321" i="85"/>
  <c r="F321" i="85" s="1"/>
  <c r="G321" i="85"/>
  <c r="D317" i="85"/>
  <c r="F317" i="85" s="1"/>
  <c r="G317" i="85"/>
  <c r="D313" i="85"/>
  <c r="F313" i="85" s="1"/>
  <c r="G313" i="85"/>
  <c r="D309" i="85"/>
  <c r="F309" i="85" s="1"/>
  <c r="G309" i="85"/>
  <c r="D305" i="85"/>
  <c r="F305" i="85" s="1"/>
  <c r="G305" i="85"/>
  <c r="D301" i="85"/>
  <c r="F301" i="85" s="1"/>
  <c r="G301" i="85"/>
  <c r="D297" i="85"/>
  <c r="F297" i="85" s="1"/>
  <c r="G297" i="85"/>
  <c r="D293" i="85"/>
  <c r="F293" i="85" s="1"/>
  <c r="G293" i="85"/>
  <c r="D289" i="85"/>
  <c r="F289" i="85" s="1"/>
  <c r="G289" i="85"/>
  <c r="D285" i="85"/>
  <c r="F285" i="85" s="1"/>
  <c r="G285" i="85"/>
  <c r="D281" i="85"/>
  <c r="F281" i="85" s="1"/>
  <c r="G281" i="85"/>
  <c r="D277" i="85"/>
  <c r="F277" i="85" s="1"/>
  <c r="G277" i="85"/>
  <c r="D273" i="85"/>
  <c r="F273" i="85" s="1"/>
  <c r="G273" i="85"/>
  <c r="D269" i="85"/>
  <c r="F269" i="85" s="1"/>
  <c r="G269" i="85"/>
  <c r="D265" i="85"/>
  <c r="F265" i="85" s="1"/>
  <c r="G265" i="85"/>
  <c r="D262" i="85"/>
  <c r="G262" i="85"/>
  <c r="D260" i="85"/>
  <c r="F260" i="85" s="1"/>
  <c r="G260" i="85"/>
  <c r="D252" i="85"/>
  <c r="F252" i="85" s="1"/>
  <c r="G252" i="85"/>
  <c r="D244" i="85"/>
  <c r="F244" i="85" s="1"/>
  <c r="G244" i="85"/>
  <c r="D236" i="85"/>
  <c r="F236" i="85" s="1"/>
  <c r="G236" i="85"/>
  <c r="D228" i="85"/>
  <c r="F228" i="85" s="1"/>
  <c r="G228" i="85"/>
  <c r="D220" i="85"/>
  <c r="F220" i="85" s="1"/>
  <c r="G220" i="85"/>
  <c r="D212" i="85"/>
  <c r="F212" i="85" s="1"/>
  <c r="G212" i="85"/>
  <c r="D204" i="85"/>
  <c r="F204" i="85" s="1"/>
  <c r="G204" i="85"/>
  <c r="D196" i="85"/>
  <c r="F196" i="85" s="1"/>
  <c r="G196" i="85"/>
  <c r="D188" i="85"/>
  <c r="F188" i="85" s="1"/>
  <c r="G188" i="85"/>
  <c r="D180" i="85"/>
  <c r="F180" i="85" s="1"/>
  <c r="G180" i="85"/>
  <c r="D171" i="85"/>
  <c r="F171" i="85" s="1"/>
  <c r="G171" i="85"/>
  <c r="D254" i="85"/>
  <c r="F254" i="85" s="1"/>
  <c r="G254" i="85"/>
  <c r="D246" i="85"/>
  <c r="F246" i="85" s="1"/>
  <c r="G246" i="85"/>
  <c r="D238" i="85"/>
  <c r="F238" i="85" s="1"/>
  <c r="G238" i="85"/>
  <c r="D230" i="85"/>
  <c r="F230" i="85" s="1"/>
  <c r="G230" i="85"/>
  <c r="D222" i="85"/>
  <c r="F222" i="85" s="1"/>
  <c r="G222" i="85"/>
  <c r="D214" i="85"/>
  <c r="F214" i="85" s="1"/>
  <c r="G214" i="85"/>
  <c r="D206" i="85"/>
  <c r="F206" i="85" s="1"/>
  <c r="G206" i="85"/>
  <c r="D198" i="85"/>
  <c r="F198" i="85" s="1"/>
  <c r="G198" i="85"/>
  <c r="D190" i="85"/>
  <c r="F190" i="85" s="1"/>
  <c r="G190" i="85"/>
  <c r="D182" i="85"/>
  <c r="F182" i="85" s="1"/>
  <c r="G182" i="85"/>
  <c r="D174" i="85"/>
  <c r="F174" i="85" s="1"/>
  <c r="G174" i="85"/>
  <c r="D259" i="85"/>
  <c r="F259" i="85" s="1"/>
  <c r="G259" i="85"/>
  <c r="D255" i="85"/>
  <c r="F255" i="85" s="1"/>
  <c r="G255" i="85"/>
  <c r="D251" i="85"/>
  <c r="F251" i="85" s="1"/>
  <c r="G251" i="85"/>
  <c r="D247" i="85"/>
  <c r="F247" i="85" s="1"/>
  <c r="G247" i="85"/>
  <c r="D243" i="85"/>
  <c r="F243" i="85" s="1"/>
  <c r="G243" i="85"/>
  <c r="D239" i="85"/>
  <c r="F239" i="85" s="1"/>
  <c r="G239" i="85"/>
  <c r="D235" i="85"/>
  <c r="F235" i="85" s="1"/>
  <c r="G235" i="85"/>
  <c r="D231" i="85"/>
  <c r="F231" i="85" s="1"/>
  <c r="G231" i="85"/>
  <c r="D227" i="85"/>
  <c r="F227" i="85" s="1"/>
  <c r="G227" i="85"/>
  <c r="D223" i="85"/>
  <c r="F223" i="85" s="1"/>
  <c r="G223" i="85"/>
  <c r="D219" i="85"/>
  <c r="F219" i="85" s="1"/>
  <c r="G219" i="85"/>
  <c r="D215" i="85"/>
  <c r="F215" i="85" s="1"/>
  <c r="G215" i="85"/>
  <c r="D211" i="85"/>
  <c r="F211" i="85" s="1"/>
  <c r="G211" i="85"/>
  <c r="D207" i="85"/>
  <c r="F207" i="85" s="1"/>
  <c r="G207" i="85"/>
  <c r="D203" i="85"/>
  <c r="F203" i="85" s="1"/>
  <c r="G203" i="85"/>
  <c r="D199" i="85"/>
  <c r="F199" i="85" s="1"/>
  <c r="G199" i="85"/>
  <c r="D195" i="85"/>
  <c r="F195" i="85" s="1"/>
  <c r="G195" i="85"/>
  <c r="D191" i="85"/>
  <c r="F191" i="85" s="1"/>
  <c r="G191" i="85"/>
  <c r="D187" i="85"/>
  <c r="F187" i="85" s="1"/>
  <c r="G187" i="85"/>
  <c r="D183" i="85"/>
  <c r="F183" i="85" s="1"/>
  <c r="G183" i="85"/>
  <c r="D179" i="85"/>
  <c r="F179" i="85" s="1"/>
  <c r="G179" i="85"/>
  <c r="D175" i="85"/>
  <c r="F175" i="85" s="1"/>
  <c r="G175" i="85"/>
  <c r="D172" i="85"/>
  <c r="F172" i="85" s="1"/>
  <c r="G172" i="85"/>
  <c r="D256" i="85"/>
  <c r="F256" i="85" s="1"/>
  <c r="G256" i="85"/>
  <c r="D248" i="85"/>
  <c r="F248" i="85" s="1"/>
  <c r="G248" i="85"/>
  <c r="D240" i="85"/>
  <c r="F240" i="85" s="1"/>
  <c r="G240" i="85"/>
  <c r="D232" i="85"/>
  <c r="F232" i="85" s="1"/>
  <c r="G232" i="85"/>
  <c r="D224" i="85"/>
  <c r="F224" i="85" s="1"/>
  <c r="G224" i="85"/>
  <c r="D216" i="85"/>
  <c r="F216" i="85" s="1"/>
  <c r="G216" i="85"/>
  <c r="D208" i="85"/>
  <c r="F208" i="85" s="1"/>
  <c r="G208" i="85"/>
  <c r="D200" i="85"/>
  <c r="F200" i="85" s="1"/>
  <c r="G200" i="85"/>
  <c r="D192" i="85"/>
  <c r="F192" i="85" s="1"/>
  <c r="G192" i="85"/>
  <c r="D184" i="85"/>
  <c r="F184" i="85" s="1"/>
  <c r="G184" i="85"/>
  <c r="D176" i="85"/>
  <c r="F176" i="85" s="1"/>
  <c r="G176" i="85"/>
  <c r="D258" i="85"/>
  <c r="F258" i="85" s="1"/>
  <c r="G258" i="85"/>
  <c r="D250" i="85"/>
  <c r="F250" i="85" s="1"/>
  <c r="G250" i="85"/>
  <c r="D242" i="85"/>
  <c r="F242" i="85" s="1"/>
  <c r="G242" i="85"/>
  <c r="D234" i="85"/>
  <c r="F234" i="85" s="1"/>
  <c r="G234" i="85"/>
  <c r="D226" i="85"/>
  <c r="F226" i="85" s="1"/>
  <c r="G226" i="85"/>
  <c r="D218" i="85"/>
  <c r="F218" i="85" s="1"/>
  <c r="G218" i="85"/>
  <c r="D210" i="85"/>
  <c r="F210" i="85" s="1"/>
  <c r="G210" i="85"/>
  <c r="D202" i="85"/>
  <c r="F202" i="85" s="1"/>
  <c r="G202" i="85"/>
  <c r="D194" i="85"/>
  <c r="F194" i="85" s="1"/>
  <c r="G194" i="85"/>
  <c r="D186" i="85"/>
  <c r="F186" i="85" s="1"/>
  <c r="G186" i="85"/>
  <c r="D178" i="85"/>
  <c r="F178" i="85" s="1"/>
  <c r="G178" i="85"/>
  <c r="D257" i="85"/>
  <c r="F257" i="85" s="1"/>
  <c r="G257" i="85"/>
  <c r="D253" i="85"/>
  <c r="F253" i="85" s="1"/>
  <c r="G253" i="85"/>
  <c r="D249" i="85"/>
  <c r="F249" i="85" s="1"/>
  <c r="G249" i="85"/>
  <c r="D245" i="85"/>
  <c r="F245" i="85" s="1"/>
  <c r="G245" i="85"/>
  <c r="D241" i="85"/>
  <c r="F241" i="85" s="1"/>
  <c r="G241" i="85"/>
  <c r="D237" i="85"/>
  <c r="F237" i="85" s="1"/>
  <c r="G237" i="85"/>
  <c r="D233" i="85"/>
  <c r="F233" i="85" s="1"/>
  <c r="G233" i="85"/>
  <c r="D229" i="85"/>
  <c r="F229" i="85" s="1"/>
  <c r="G229" i="85"/>
  <c r="D225" i="85"/>
  <c r="F225" i="85" s="1"/>
  <c r="G225" i="85"/>
  <c r="D221" i="85"/>
  <c r="F221" i="85" s="1"/>
  <c r="G221" i="85"/>
  <c r="D217" i="85"/>
  <c r="F217" i="85" s="1"/>
  <c r="G217" i="85"/>
  <c r="D213" i="85"/>
  <c r="F213" i="85" s="1"/>
  <c r="G213" i="85"/>
  <c r="D209" i="85"/>
  <c r="F209" i="85" s="1"/>
  <c r="G209" i="85"/>
  <c r="D205" i="85"/>
  <c r="F205" i="85" s="1"/>
  <c r="G205" i="85"/>
  <c r="D201" i="85"/>
  <c r="F201" i="85" s="1"/>
  <c r="G201" i="85"/>
  <c r="D197" i="85"/>
  <c r="F197" i="85" s="1"/>
  <c r="G197" i="85"/>
  <c r="D193" i="85"/>
  <c r="F193" i="85" s="1"/>
  <c r="G193" i="85"/>
  <c r="D189" i="85"/>
  <c r="F189" i="85" s="1"/>
  <c r="G189" i="85"/>
  <c r="D185" i="85"/>
  <c r="F185" i="85" s="1"/>
  <c r="G185" i="85"/>
  <c r="D181" i="85"/>
  <c r="F181" i="85" s="1"/>
  <c r="G181" i="85"/>
  <c r="D177" i="85"/>
  <c r="F177" i="85" s="1"/>
  <c r="G177" i="85"/>
  <c r="D173" i="85"/>
  <c r="F173" i="85" s="1"/>
  <c r="G173" i="85"/>
  <c r="D170" i="85"/>
  <c r="F170" i="85" s="1"/>
  <c r="G170" i="85"/>
  <c r="D169" i="85"/>
  <c r="F169" i="85" s="1"/>
  <c r="G169" i="85"/>
  <c r="D154" i="85"/>
  <c r="F154" i="85" s="1"/>
  <c r="G154" i="85"/>
  <c r="D138" i="85"/>
  <c r="F138" i="85" s="1"/>
  <c r="G138" i="85"/>
  <c r="D122" i="85"/>
  <c r="F122" i="85" s="1"/>
  <c r="G122" i="85"/>
  <c r="D106" i="85"/>
  <c r="F106" i="85" s="1"/>
  <c r="G106" i="85"/>
  <c r="D90" i="85"/>
  <c r="F90" i="85" s="1"/>
  <c r="G90" i="85"/>
  <c r="D74" i="85"/>
  <c r="F74" i="85" s="1"/>
  <c r="G74" i="85"/>
  <c r="D58" i="85"/>
  <c r="F58" i="85" s="1"/>
  <c r="G58" i="85"/>
  <c r="D42" i="85"/>
  <c r="F42" i="85" s="1"/>
  <c r="G42" i="85"/>
  <c r="D26" i="85"/>
  <c r="F26" i="85" s="1"/>
  <c r="G26" i="85"/>
  <c r="D10" i="85"/>
  <c r="F10" i="85" s="1"/>
  <c r="G10" i="85"/>
  <c r="D158" i="85"/>
  <c r="F158" i="85" s="1"/>
  <c r="G158" i="85"/>
  <c r="D142" i="85"/>
  <c r="F142" i="85" s="1"/>
  <c r="G142" i="85"/>
  <c r="D126" i="85"/>
  <c r="F126" i="85" s="1"/>
  <c r="G126" i="85"/>
  <c r="D110" i="85"/>
  <c r="F110" i="85" s="1"/>
  <c r="G110" i="85"/>
  <c r="D94" i="85"/>
  <c r="F94" i="85" s="1"/>
  <c r="G94" i="85"/>
  <c r="D78" i="85"/>
  <c r="F78" i="85" s="1"/>
  <c r="G78" i="85"/>
  <c r="D62" i="85"/>
  <c r="F62" i="85" s="1"/>
  <c r="G62" i="85"/>
  <c r="D46" i="85"/>
  <c r="F46" i="85" s="1"/>
  <c r="G46" i="85"/>
  <c r="D30" i="85"/>
  <c r="F30" i="85" s="1"/>
  <c r="G30" i="85"/>
  <c r="D14" i="85"/>
  <c r="F14" i="85" s="1"/>
  <c r="G14" i="85"/>
  <c r="D160" i="85"/>
  <c r="F160" i="85" s="1"/>
  <c r="G160" i="85"/>
  <c r="D152" i="85"/>
  <c r="F152" i="85" s="1"/>
  <c r="G152" i="85"/>
  <c r="D144" i="85"/>
  <c r="F144" i="85" s="1"/>
  <c r="G144" i="85"/>
  <c r="D136" i="85"/>
  <c r="F136" i="85" s="1"/>
  <c r="G136" i="85"/>
  <c r="D128" i="85"/>
  <c r="F128" i="85" s="1"/>
  <c r="G128" i="85"/>
  <c r="D120" i="85"/>
  <c r="F120" i="85" s="1"/>
  <c r="G120" i="85"/>
  <c r="D112" i="85"/>
  <c r="F112" i="85" s="1"/>
  <c r="G112" i="85"/>
  <c r="D104" i="85"/>
  <c r="F104" i="85" s="1"/>
  <c r="G104" i="85"/>
  <c r="D96" i="85"/>
  <c r="F96" i="85" s="1"/>
  <c r="G96" i="85"/>
  <c r="D88" i="85"/>
  <c r="F88" i="85" s="1"/>
  <c r="G88" i="85"/>
  <c r="D80" i="85"/>
  <c r="F80" i="85" s="1"/>
  <c r="G80" i="85"/>
  <c r="D72" i="85"/>
  <c r="F72" i="85" s="1"/>
  <c r="G72" i="85"/>
  <c r="D64" i="85"/>
  <c r="F64" i="85" s="1"/>
  <c r="G64" i="85"/>
  <c r="D56" i="85"/>
  <c r="F56" i="85" s="1"/>
  <c r="G56" i="85"/>
  <c r="D48" i="85"/>
  <c r="F48" i="85" s="1"/>
  <c r="G48" i="85"/>
  <c r="D40" i="85"/>
  <c r="F40" i="85" s="1"/>
  <c r="G40" i="85"/>
  <c r="D32" i="85"/>
  <c r="F32" i="85" s="1"/>
  <c r="G32" i="85"/>
  <c r="D24" i="85"/>
  <c r="F24" i="85" s="1"/>
  <c r="G24" i="85"/>
  <c r="D16" i="85"/>
  <c r="F16" i="85" s="1"/>
  <c r="G16" i="85"/>
  <c r="D8" i="85"/>
  <c r="F8" i="85" s="1"/>
  <c r="G8" i="85"/>
  <c r="D163" i="85"/>
  <c r="F163" i="85" s="1"/>
  <c r="G163" i="85"/>
  <c r="D159" i="85"/>
  <c r="F159" i="85" s="1"/>
  <c r="G159" i="85"/>
  <c r="D155" i="85"/>
  <c r="F155" i="85" s="1"/>
  <c r="G155" i="85"/>
  <c r="D151" i="85"/>
  <c r="F151" i="85" s="1"/>
  <c r="G151" i="85"/>
  <c r="D147" i="85"/>
  <c r="F147" i="85" s="1"/>
  <c r="G147" i="85"/>
  <c r="D143" i="85"/>
  <c r="F143" i="85" s="1"/>
  <c r="G143" i="85"/>
  <c r="D139" i="85"/>
  <c r="F139" i="85" s="1"/>
  <c r="G139" i="85"/>
  <c r="D135" i="85"/>
  <c r="F135" i="85" s="1"/>
  <c r="G135" i="85"/>
  <c r="D131" i="85"/>
  <c r="F131" i="85" s="1"/>
  <c r="G131" i="85"/>
  <c r="D127" i="85"/>
  <c r="F127" i="85" s="1"/>
  <c r="G127" i="85"/>
  <c r="D123" i="85"/>
  <c r="F123" i="85" s="1"/>
  <c r="G123" i="85"/>
  <c r="D119" i="85"/>
  <c r="F119" i="85" s="1"/>
  <c r="G119" i="85"/>
  <c r="D115" i="85"/>
  <c r="F115" i="85" s="1"/>
  <c r="G115" i="85"/>
  <c r="D111" i="85"/>
  <c r="F111" i="85" s="1"/>
  <c r="G111" i="85"/>
  <c r="D107" i="85"/>
  <c r="F107" i="85" s="1"/>
  <c r="G107" i="85"/>
  <c r="D103" i="85"/>
  <c r="F103" i="85" s="1"/>
  <c r="G103" i="85"/>
  <c r="D99" i="85"/>
  <c r="F99" i="85" s="1"/>
  <c r="G99" i="85"/>
  <c r="D95" i="85"/>
  <c r="F95" i="85" s="1"/>
  <c r="G95" i="85"/>
  <c r="D91" i="85"/>
  <c r="F91" i="85" s="1"/>
  <c r="G91" i="85"/>
  <c r="D87" i="85"/>
  <c r="F87" i="85" s="1"/>
  <c r="G87" i="85"/>
  <c r="D83" i="85"/>
  <c r="F83" i="85" s="1"/>
  <c r="G83" i="85"/>
  <c r="D79" i="85"/>
  <c r="F79" i="85" s="1"/>
  <c r="G79" i="85"/>
  <c r="D75" i="85"/>
  <c r="F75" i="85" s="1"/>
  <c r="G75" i="85"/>
  <c r="D71" i="85"/>
  <c r="F71" i="85" s="1"/>
  <c r="G71" i="85"/>
  <c r="D67" i="85"/>
  <c r="F67" i="85" s="1"/>
  <c r="G67" i="85"/>
  <c r="D63" i="85"/>
  <c r="F63" i="85" s="1"/>
  <c r="G63" i="85"/>
  <c r="D59" i="85"/>
  <c r="F59" i="85" s="1"/>
  <c r="G59" i="85"/>
  <c r="D55" i="85"/>
  <c r="F55" i="85" s="1"/>
  <c r="G55" i="85"/>
  <c r="D51" i="85"/>
  <c r="F51" i="85" s="1"/>
  <c r="G51" i="85"/>
  <c r="D47" i="85"/>
  <c r="F47" i="85" s="1"/>
  <c r="G47" i="85"/>
  <c r="D43" i="85"/>
  <c r="F43" i="85" s="1"/>
  <c r="G43" i="85"/>
  <c r="D39" i="85"/>
  <c r="F39" i="85" s="1"/>
  <c r="G39" i="85"/>
  <c r="D35" i="85"/>
  <c r="F35" i="85" s="1"/>
  <c r="G35" i="85"/>
  <c r="D31" i="85"/>
  <c r="F31" i="85" s="1"/>
  <c r="G31" i="85"/>
  <c r="D27" i="85"/>
  <c r="F27" i="85" s="1"/>
  <c r="G27" i="85"/>
  <c r="D23" i="85"/>
  <c r="F23" i="85" s="1"/>
  <c r="G23" i="85"/>
  <c r="D19" i="85"/>
  <c r="F19" i="85" s="1"/>
  <c r="G19" i="85"/>
  <c r="D15" i="85"/>
  <c r="F15" i="85" s="1"/>
  <c r="G15" i="85"/>
  <c r="D11" i="85"/>
  <c r="F11" i="85" s="1"/>
  <c r="G11" i="85"/>
  <c r="D7" i="85"/>
  <c r="F7" i="85" s="1"/>
  <c r="G7" i="85"/>
  <c r="D3" i="85"/>
  <c r="F3" i="85" s="1"/>
  <c r="G3" i="85"/>
  <c r="D162" i="85"/>
  <c r="F162" i="85" s="1"/>
  <c r="G162" i="85"/>
  <c r="D146" i="85"/>
  <c r="F146" i="85" s="1"/>
  <c r="G146" i="85"/>
  <c r="D130" i="85"/>
  <c r="F130" i="85" s="1"/>
  <c r="G130" i="85"/>
  <c r="D114" i="85"/>
  <c r="F114" i="85" s="1"/>
  <c r="G114" i="85"/>
  <c r="D98" i="85"/>
  <c r="F98" i="85" s="1"/>
  <c r="G98" i="85"/>
  <c r="D66" i="85"/>
  <c r="F66" i="85" s="1"/>
  <c r="G66" i="85"/>
  <c r="D50" i="85"/>
  <c r="F50" i="85" s="1"/>
  <c r="G50" i="85"/>
  <c r="D34" i="85"/>
  <c r="F34" i="85" s="1"/>
  <c r="G34" i="85"/>
  <c r="D18" i="85"/>
  <c r="F18" i="85" s="1"/>
  <c r="G18" i="85"/>
  <c r="D166" i="85"/>
  <c r="F166" i="85" s="1"/>
  <c r="G166" i="85"/>
  <c r="D150" i="85"/>
  <c r="F150" i="85" s="1"/>
  <c r="G150" i="85"/>
  <c r="D134" i="85"/>
  <c r="F134" i="85" s="1"/>
  <c r="G134" i="85"/>
  <c r="D118" i="85"/>
  <c r="F118" i="85" s="1"/>
  <c r="G118" i="85"/>
  <c r="D102" i="85"/>
  <c r="F102" i="85" s="1"/>
  <c r="G102" i="85"/>
  <c r="D86" i="85"/>
  <c r="F86" i="85" s="1"/>
  <c r="G86" i="85"/>
  <c r="D70" i="85"/>
  <c r="F70" i="85" s="1"/>
  <c r="G70" i="85"/>
  <c r="D54" i="85"/>
  <c r="F54" i="85" s="1"/>
  <c r="G54" i="85"/>
  <c r="D38" i="85"/>
  <c r="F38" i="85" s="1"/>
  <c r="G38" i="85"/>
  <c r="D22" i="85"/>
  <c r="F22" i="85" s="1"/>
  <c r="G22" i="85"/>
  <c r="D6" i="85"/>
  <c r="F6" i="85" s="1"/>
  <c r="G6" i="85"/>
  <c r="D164" i="85"/>
  <c r="F164" i="85" s="1"/>
  <c r="G164" i="85"/>
  <c r="D156" i="85"/>
  <c r="F156" i="85" s="1"/>
  <c r="G156" i="85"/>
  <c r="D148" i="85"/>
  <c r="F148" i="85" s="1"/>
  <c r="G148" i="85"/>
  <c r="D140" i="85"/>
  <c r="F140" i="85" s="1"/>
  <c r="G140" i="85"/>
  <c r="D132" i="85"/>
  <c r="F132" i="85" s="1"/>
  <c r="G132" i="85"/>
  <c r="D124" i="85"/>
  <c r="F124" i="85" s="1"/>
  <c r="G124" i="85"/>
  <c r="D116" i="85"/>
  <c r="F116" i="85" s="1"/>
  <c r="G116" i="85"/>
  <c r="D108" i="85"/>
  <c r="F108" i="85" s="1"/>
  <c r="G108" i="85"/>
  <c r="D100" i="85"/>
  <c r="F100" i="85" s="1"/>
  <c r="G100" i="85"/>
  <c r="D92" i="85"/>
  <c r="F92" i="85" s="1"/>
  <c r="G92" i="85"/>
  <c r="D84" i="85"/>
  <c r="F84" i="85" s="1"/>
  <c r="G84" i="85"/>
  <c r="D76" i="85"/>
  <c r="F76" i="85" s="1"/>
  <c r="G76" i="85"/>
  <c r="D68" i="85"/>
  <c r="F68" i="85" s="1"/>
  <c r="G68" i="85"/>
  <c r="D60" i="85"/>
  <c r="F60" i="85" s="1"/>
  <c r="G60" i="85"/>
  <c r="D52" i="85"/>
  <c r="F52" i="85" s="1"/>
  <c r="G52" i="85"/>
  <c r="D44" i="85"/>
  <c r="F44" i="85" s="1"/>
  <c r="G44" i="85"/>
  <c r="D36" i="85"/>
  <c r="F36" i="85" s="1"/>
  <c r="G36" i="85"/>
  <c r="D28" i="85"/>
  <c r="F28" i="85" s="1"/>
  <c r="G28" i="85"/>
  <c r="D20" i="85"/>
  <c r="F20" i="85" s="1"/>
  <c r="G20" i="85"/>
  <c r="D12" i="85"/>
  <c r="F12" i="85" s="1"/>
  <c r="G12" i="85"/>
  <c r="D4" i="85"/>
  <c r="F4" i="85" s="1"/>
  <c r="G4" i="85"/>
  <c r="D165" i="85"/>
  <c r="F165" i="85" s="1"/>
  <c r="G165" i="85"/>
  <c r="D161" i="85"/>
  <c r="F161" i="85" s="1"/>
  <c r="G161" i="85"/>
  <c r="D157" i="85"/>
  <c r="F157" i="85" s="1"/>
  <c r="G157" i="85"/>
  <c r="D153" i="85"/>
  <c r="F153" i="85" s="1"/>
  <c r="G153" i="85"/>
  <c r="D149" i="85"/>
  <c r="F149" i="85" s="1"/>
  <c r="G149" i="85"/>
  <c r="D145" i="85"/>
  <c r="F145" i="85" s="1"/>
  <c r="G145" i="85"/>
  <c r="D141" i="85"/>
  <c r="F141" i="85" s="1"/>
  <c r="G141" i="85"/>
  <c r="D137" i="85"/>
  <c r="F137" i="85" s="1"/>
  <c r="G137" i="85"/>
  <c r="D133" i="85"/>
  <c r="F133" i="85" s="1"/>
  <c r="G133" i="85"/>
  <c r="D129" i="85"/>
  <c r="F129" i="85" s="1"/>
  <c r="G129" i="85"/>
  <c r="D125" i="85"/>
  <c r="F125" i="85" s="1"/>
  <c r="G125" i="85"/>
  <c r="D121" i="85"/>
  <c r="F121" i="85" s="1"/>
  <c r="G121" i="85"/>
  <c r="D117" i="85"/>
  <c r="F117" i="85" s="1"/>
  <c r="G117" i="85"/>
  <c r="D113" i="85"/>
  <c r="F113" i="85" s="1"/>
  <c r="G113" i="85"/>
  <c r="D109" i="85"/>
  <c r="F109" i="85" s="1"/>
  <c r="G109" i="85"/>
  <c r="D105" i="85"/>
  <c r="F105" i="85" s="1"/>
  <c r="G105" i="85"/>
  <c r="D101" i="85"/>
  <c r="F101" i="85" s="1"/>
  <c r="G101" i="85"/>
  <c r="D97" i="85"/>
  <c r="F97" i="85" s="1"/>
  <c r="G97" i="85"/>
  <c r="D93" i="85"/>
  <c r="F93" i="85" s="1"/>
  <c r="G93" i="85"/>
  <c r="D89" i="85"/>
  <c r="F89" i="85" s="1"/>
  <c r="G89" i="85"/>
  <c r="D85" i="85"/>
  <c r="F85" i="85" s="1"/>
  <c r="G85" i="85"/>
  <c r="D81" i="85"/>
  <c r="F81" i="85" s="1"/>
  <c r="G81" i="85"/>
  <c r="D77" i="85"/>
  <c r="F77" i="85" s="1"/>
  <c r="G77" i="85"/>
  <c r="D73" i="85"/>
  <c r="F73" i="85" s="1"/>
  <c r="G73" i="85"/>
  <c r="D69" i="85"/>
  <c r="F69" i="85" s="1"/>
  <c r="G69" i="85"/>
  <c r="D65" i="85"/>
  <c r="F65" i="85" s="1"/>
  <c r="G65" i="85"/>
  <c r="D61" i="85"/>
  <c r="F61" i="85" s="1"/>
  <c r="G61" i="85"/>
  <c r="D57" i="85"/>
  <c r="F57" i="85" s="1"/>
  <c r="G57" i="85"/>
  <c r="D53" i="85"/>
  <c r="F53" i="85" s="1"/>
  <c r="G53" i="85"/>
  <c r="D49" i="85"/>
  <c r="F49" i="85" s="1"/>
  <c r="G49" i="85"/>
  <c r="D45" i="85"/>
  <c r="F45" i="85" s="1"/>
  <c r="G45" i="85"/>
  <c r="D41" i="85"/>
  <c r="F41" i="85" s="1"/>
  <c r="G41" i="85"/>
  <c r="D37" i="85"/>
  <c r="F37" i="85" s="1"/>
  <c r="G37" i="85"/>
  <c r="D33" i="85"/>
  <c r="F33" i="85" s="1"/>
  <c r="G33" i="85"/>
  <c r="D29" i="85"/>
  <c r="F29" i="85" s="1"/>
  <c r="G29" i="85"/>
  <c r="D25" i="85"/>
  <c r="F25" i="85" s="1"/>
  <c r="G25" i="85"/>
  <c r="D21" i="85"/>
  <c r="F21" i="85" s="1"/>
  <c r="G21" i="85"/>
  <c r="D17" i="85"/>
  <c r="F17" i="85" s="1"/>
  <c r="G17" i="85"/>
  <c r="D13" i="85"/>
  <c r="F13" i="85" s="1"/>
  <c r="G13" i="85"/>
  <c r="D9" i="85"/>
  <c r="F9" i="85" s="1"/>
  <c r="G9" i="85"/>
  <c r="D5" i="85"/>
  <c r="F5" i="85" s="1"/>
  <c r="G5" i="85"/>
  <c r="D2" i="85"/>
  <c r="F2" i="85" s="1"/>
  <c r="G2" i="85"/>
  <c r="D475" i="85"/>
  <c r="E480" i="85"/>
  <c r="D480" i="85" s="1"/>
  <c r="E476" i="85"/>
  <c r="D476" i="85" s="1"/>
  <c r="E478" i="85"/>
  <c r="D478" i="85" s="1"/>
  <c r="E477" i="85"/>
  <c r="D477" i="85" s="1"/>
  <c r="E479" i="85"/>
  <c r="D479" i="85" s="1"/>
  <c r="C34" i="82"/>
  <c r="I118" i="82"/>
  <c r="H118" i="82" s="1"/>
  <c r="C104" i="82"/>
  <c r="H119" i="82"/>
  <c r="H101" i="82"/>
  <c r="G118" i="82"/>
  <c r="F118" i="82" s="1"/>
  <c r="F119" i="82" s="1"/>
  <c r="C34" i="9"/>
  <c r="F369" i="85" l="1"/>
  <c r="F370" i="85"/>
  <c r="G370" i="85" s="1"/>
  <c r="F372" i="85"/>
  <c r="G372" i="85" s="1"/>
  <c r="F374" i="85"/>
  <c r="G374" i="85" s="1"/>
  <c r="F376" i="85"/>
  <c r="G376" i="85" s="1"/>
  <c r="F378" i="85"/>
  <c r="G378" i="85" s="1"/>
  <c r="F380" i="85"/>
  <c r="G380" i="85" s="1"/>
  <c r="F382" i="85"/>
  <c r="G382" i="85" s="1"/>
  <c r="F384" i="85"/>
  <c r="G384" i="85" s="1"/>
  <c r="F386" i="85"/>
  <c r="G386" i="85" s="1"/>
  <c r="F388" i="85"/>
  <c r="G388" i="85" s="1"/>
  <c r="F390" i="85"/>
  <c r="G390" i="85" s="1"/>
  <c r="F392" i="85"/>
  <c r="G392" i="85" s="1"/>
  <c r="F394" i="85"/>
  <c r="G394" i="85" s="1"/>
  <c r="F396" i="85"/>
  <c r="G396" i="85" s="1"/>
  <c r="F398" i="85"/>
  <c r="G398" i="85" s="1"/>
  <c r="F400" i="85"/>
  <c r="G400" i="85" s="1"/>
  <c r="F402" i="85"/>
  <c r="G402" i="85" s="1"/>
  <c r="F404" i="85"/>
  <c r="G404" i="85" s="1"/>
  <c r="F406" i="85"/>
  <c r="G406" i="85" s="1"/>
  <c r="F408" i="85"/>
  <c r="G408" i="85" s="1"/>
  <c r="F410" i="85"/>
  <c r="G410" i="85" s="1"/>
  <c r="F412" i="85"/>
  <c r="G412" i="85" s="1"/>
  <c r="F414" i="85"/>
  <c r="G414" i="85" s="1"/>
  <c r="F416" i="85"/>
  <c r="G416" i="85" s="1"/>
  <c r="F418" i="85"/>
  <c r="G418" i="85" s="1"/>
  <c r="F420" i="85"/>
  <c r="G420" i="85" s="1"/>
  <c r="F422" i="85"/>
  <c r="G422" i="85" s="1"/>
  <c r="F424" i="85"/>
  <c r="G424" i="85" s="1"/>
  <c r="F426" i="85"/>
  <c r="G426" i="85" s="1"/>
  <c r="F428" i="85"/>
  <c r="G428" i="85" s="1"/>
  <c r="F430" i="85"/>
  <c r="G430" i="85" s="1"/>
  <c r="F432" i="85"/>
  <c r="G432" i="85" s="1"/>
  <c r="F434" i="85"/>
  <c r="G434" i="85" s="1"/>
  <c r="F436" i="85"/>
  <c r="G436" i="85" s="1"/>
  <c r="F438" i="85"/>
  <c r="G438" i="85" s="1"/>
  <c r="F440" i="85"/>
  <c r="G440" i="85" s="1"/>
  <c r="F442" i="85"/>
  <c r="G442" i="85" s="1"/>
  <c r="F444" i="85"/>
  <c r="G444" i="85" s="1"/>
  <c r="F446" i="85"/>
  <c r="G446" i="85" s="1"/>
  <c r="F448" i="85"/>
  <c r="G448" i="85" s="1"/>
  <c r="F450" i="85"/>
  <c r="G450" i="85" s="1"/>
  <c r="F452" i="85"/>
  <c r="G452" i="85" s="1"/>
  <c r="F454" i="85"/>
  <c r="G454" i="85" s="1"/>
  <c r="F456" i="85"/>
  <c r="G456" i="85" s="1"/>
  <c r="F458" i="85"/>
  <c r="G458" i="85" s="1"/>
  <c r="F460" i="85"/>
  <c r="G460" i="85" s="1"/>
  <c r="F462" i="85"/>
  <c r="G462" i="85" s="1"/>
  <c r="F464" i="85"/>
  <c r="G464" i="85" s="1"/>
  <c r="F466" i="85"/>
  <c r="G466" i="85" s="1"/>
  <c r="F468" i="85"/>
  <c r="G468" i="85" s="1"/>
  <c r="F470" i="85"/>
  <c r="G470" i="85" s="1"/>
  <c r="F371" i="85"/>
  <c r="G371" i="85" s="1"/>
  <c r="F373" i="85"/>
  <c r="G373" i="85" s="1"/>
  <c r="F375" i="85"/>
  <c r="G375" i="85" s="1"/>
  <c r="F377" i="85"/>
  <c r="G377" i="85" s="1"/>
  <c r="F379" i="85"/>
  <c r="G379" i="85" s="1"/>
  <c r="F381" i="85"/>
  <c r="G381" i="85" s="1"/>
  <c r="F383" i="85"/>
  <c r="G383" i="85" s="1"/>
  <c r="F385" i="85"/>
  <c r="G385" i="85" s="1"/>
  <c r="F387" i="85"/>
  <c r="G387" i="85" s="1"/>
  <c r="F389" i="85"/>
  <c r="G389" i="85" s="1"/>
  <c r="F391" i="85"/>
  <c r="G391" i="85" s="1"/>
  <c r="F393" i="85"/>
  <c r="G393" i="85" s="1"/>
  <c r="F395" i="85"/>
  <c r="G395" i="85" s="1"/>
  <c r="F397" i="85"/>
  <c r="G397" i="85" s="1"/>
  <c r="F399" i="85"/>
  <c r="G399" i="85" s="1"/>
  <c r="F401" i="85"/>
  <c r="G401" i="85" s="1"/>
  <c r="F403" i="85"/>
  <c r="G403" i="85" s="1"/>
  <c r="F405" i="85"/>
  <c r="G405" i="85" s="1"/>
  <c r="F407" i="85"/>
  <c r="G407" i="85" s="1"/>
  <c r="F409" i="85"/>
  <c r="G409" i="85" s="1"/>
  <c r="F411" i="85"/>
  <c r="G411" i="85" s="1"/>
  <c r="F413" i="85"/>
  <c r="G413" i="85" s="1"/>
  <c r="F415" i="85"/>
  <c r="G415" i="85" s="1"/>
  <c r="F417" i="85"/>
  <c r="G417" i="85" s="1"/>
  <c r="F419" i="85"/>
  <c r="G419" i="85" s="1"/>
  <c r="F421" i="85"/>
  <c r="G421" i="85" s="1"/>
  <c r="F423" i="85"/>
  <c r="G423" i="85" s="1"/>
  <c r="F425" i="85"/>
  <c r="G425" i="85" s="1"/>
  <c r="F427" i="85"/>
  <c r="G427" i="85" s="1"/>
  <c r="F429" i="85"/>
  <c r="G429" i="85" s="1"/>
  <c r="F431" i="85"/>
  <c r="G431" i="85" s="1"/>
  <c r="F433" i="85"/>
  <c r="G433" i="85" s="1"/>
  <c r="F435" i="85"/>
  <c r="G435" i="85" s="1"/>
  <c r="F437" i="85"/>
  <c r="G437" i="85" s="1"/>
  <c r="F439" i="85"/>
  <c r="G439" i="85" s="1"/>
  <c r="F443" i="85"/>
  <c r="G443" i="85" s="1"/>
  <c r="F447" i="85"/>
  <c r="G447" i="85" s="1"/>
  <c r="F451" i="85"/>
  <c r="G451" i="85" s="1"/>
  <c r="F455" i="85"/>
  <c r="G455" i="85" s="1"/>
  <c r="F459" i="85"/>
  <c r="G459" i="85" s="1"/>
  <c r="F463" i="85"/>
  <c r="G463" i="85" s="1"/>
  <c r="F467" i="85"/>
  <c r="G467" i="85" s="1"/>
  <c r="F471" i="85"/>
  <c r="G471" i="85" s="1"/>
  <c r="F441" i="85"/>
  <c r="G441" i="85" s="1"/>
  <c r="F445" i="85"/>
  <c r="G445" i="85" s="1"/>
  <c r="F449" i="85"/>
  <c r="G449" i="85" s="1"/>
  <c r="F453" i="85"/>
  <c r="G453" i="85" s="1"/>
  <c r="F457" i="85"/>
  <c r="G457" i="85" s="1"/>
  <c r="F461" i="85"/>
  <c r="G461" i="85" s="1"/>
  <c r="F465" i="85"/>
  <c r="G465" i="85" s="1"/>
  <c r="F469" i="85"/>
  <c r="G469" i="85" s="1"/>
  <c r="F262" i="85"/>
  <c r="D368" i="85"/>
  <c r="F368" i="85" s="1"/>
  <c r="D261" i="85"/>
  <c r="D82" i="85"/>
  <c r="D167" i="85"/>
  <c r="F167" i="85" s="1"/>
  <c r="D481" i="85"/>
  <c r="D45" i="82"/>
  <c r="M48" i="82"/>
  <c r="H107" i="82"/>
  <c r="E118" i="82"/>
  <c r="D118" i="82" s="1"/>
  <c r="D119" i="82" s="1"/>
  <c r="C105" i="82"/>
  <c r="H102" i="82"/>
  <c r="E490" i="85" l="1"/>
  <c r="F478" i="85" s="1"/>
  <c r="G478" i="85" s="1"/>
  <c r="D15" i="74"/>
  <c r="D474" i="85"/>
  <c r="D14" i="74" s="1"/>
  <c r="F261" i="85"/>
  <c r="D482" i="85"/>
  <c r="G369" i="85"/>
  <c r="F472" i="85"/>
  <c r="G472" i="85" s="1"/>
  <c r="F82" i="85"/>
  <c r="F168" i="85" s="1"/>
  <c r="G168" i="85" s="1"/>
  <c r="D122" i="82"/>
  <c r="D123" i="82" s="1"/>
  <c r="H108" i="82"/>
  <c r="M49" i="82"/>
  <c r="C78" i="82"/>
  <c r="C73" i="82" s="1"/>
  <c r="D52" i="82"/>
  <c r="C93" i="82"/>
  <c r="C86" i="82" s="1"/>
  <c r="C85" i="82"/>
  <c r="C72" i="82"/>
  <c r="C79" i="82" s="1"/>
  <c r="D55" i="82"/>
  <c r="M53" i="82" s="1"/>
  <c r="D53" i="82"/>
  <c r="C64" i="82"/>
  <c r="C63" i="82" s="1"/>
  <c r="C67" i="82" s="1"/>
  <c r="C68" i="82" s="1"/>
  <c r="D54" i="82" s="1"/>
  <c r="F479" i="85" l="1"/>
  <c r="G479" i="85" s="1"/>
  <c r="D483" i="85"/>
  <c r="F475" i="85"/>
  <c r="F490" i="85"/>
  <c r="F477" i="85"/>
  <c r="G477" i="85" s="1"/>
  <c r="F476" i="85"/>
  <c r="G476" i="85" s="1"/>
  <c r="E15" i="74"/>
  <c r="F15" i="74"/>
  <c r="G475" i="85"/>
  <c r="F473" i="85"/>
  <c r="G473" i="85" s="1"/>
  <c r="C80" i="82"/>
  <c r="E80" i="82" s="1"/>
  <c r="E81" i="82" s="1"/>
  <c r="C95" i="82"/>
  <c r="L66" i="82"/>
  <c r="M66" i="82" s="1"/>
  <c r="L65" i="82"/>
  <c r="M65" i="82" s="1"/>
  <c r="L64" i="82"/>
  <c r="M64" i="82" s="1"/>
  <c r="L68" i="82"/>
  <c r="M68" i="82" s="1"/>
  <c r="L63" i="82"/>
  <c r="M63" i="82" s="1"/>
  <c r="L67" i="82"/>
  <c r="M67" i="82" s="1"/>
  <c r="F480" i="85" l="1"/>
  <c r="G480" i="85" s="1"/>
  <c r="F474" i="85"/>
  <c r="F481" i="85"/>
  <c r="M69" i="82"/>
  <c r="N69" i="82" s="1"/>
  <c r="C96" i="82"/>
  <c r="E96" i="82" s="1"/>
  <c r="E97" i="82" s="1"/>
  <c r="C81" i="82"/>
  <c r="G481" i="85" l="1"/>
  <c r="G15" i="74"/>
  <c r="G474" i="85"/>
  <c r="G14" i="74"/>
  <c r="F483" i="85"/>
  <c r="C486" i="85" s="1"/>
  <c r="F482" i="85"/>
  <c r="G482" i="85" s="1"/>
  <c r="C97" i="82"/>
  <c r="D58" i="82" s="1"/>
  <c r="D56" i="82" s="1"/>
  <c r="M54" i="82" s="1"/>
  <c r="N57" i="82" s="1"/>
  <c r="P57" i="82" l="1"/>
  <c r="N58" i="82"/>
  <c r="N59" i="82"/>
  <c r="N60" i="82" l="1"/>
  <c r="N61" i="82"/>
  <c r="I118" i="9"/>
  <c r="H118" i="9" s="1"/>
  <c r="C105" i="9"/>
  <c r="I4" i="52" l="1"/>
  <c r="H102" i="9"/>
  <c r="D7" i="53" s="1"/>
  <c r="B21" i="72" s="1"/>
  <c r="H101" i="9"/>
  <c r="H119" i="9"/>
  <c r="H5" i="52" s="1"/>
  <c r="C104" i="9"/>
  <c r="H4" i="52"/>
  <c r="D45" i="9"/>
  <c r="F14" i="74" l="1"/>
  <c r="E14" i="74"/>
  <c r="H107" i="9"/>
  <c r="D5" i="53"/>
  <c r="M48" i="9"/>
  <c r="D55" i="9"/>
  <c r="M53" i="9" s="1"/>
  <c r="C85" i="9"/>
  <c r="C78" i="9"/>
  <c r="C73" i="9" s="1"/>
  <c r="D53" i="9"/>
  <c r="C93" i="9"/>
  <c r="C86" i="9" s="1"/>
  <c r="C72" i="9"/>
  <c r="C64" i="9"/>
  <c r="C63" i="9" s="1"/>
  <c r="C67" i="9" s="1"/>
  <c r="C68" i="9" s="1"/>
  <c r="D54" i="9" s="1"/>
  <c r="D52" i="9"/>
  <c r="F16" i="74" l="1"/>
  <c r="E16" i="74"/>
  <c r="B5" i="74"/>
  <c r="D122" i="9"/>
  <c r="H108" i="9"/>
  <c r="D15" i="53" s="1"/>
  <c r="B31" i="72" s="1"/>
  <c r="M49" i="9"/>
  <c r="D13" i="53"/>
  <c r="B20" i="72"/>
  <c r="D6" i="53"/>
  <c r="B22" i="72" s="1"/>
  <c r="C79" i="9"/>
  <c r="C95" i="9"/>
  <c r="B30" i="72" l="1"/>
  <c r="D14" i="53"/>
  <c r="B32" i="72" s="1"/>
  <c r="D5" i="74"/>
  <c r="C5" i="74"/>
  <c r="E34" i="78"/>
  <c r="L64" i="9"/>
  <c r="M64" i="9" s="1"/>
  <c r="L66" i="9"/>
  <c r="M66" i="9" s="1"/>
  <c r="L68" i="9"/>
  <c r="M68" i="9" s="1"/>
  <c r="L63" i="9"/>
  <c r="M63" i="9" s="1"/>
  <c r="L65" i="9"/>
  <c r="M65" i="9" s="1"/>
  <c r="L67" i="9"/>
  <c r="M67" i="9" s="1"/>
  <c r="D123" i="9"/>
  <c r="D9" i="52" s="1"/>
  <c r="D8" i="52"/>
  <c r="C96" i="9"/>
  <c r="E96" i="9" s="1"/>
  <c r="E97" i="9" s="1"/>
  <c r="C80" i="9"/>
  <c r="E80" i="9" s="1"/>
  <c r="E81" i="9" s="1"/>
  <c r="C81" i="9" l="1"/>
  <c r="B6" i="74"/>
  <c r="M69" i="9"/>
  <c r="N69" i="9" s="1"/>
  <c r="C97" i="9"/>
  <c r="D58" i="9" s="1"/>
  <c r="D56" i="9" s="1"/>
  <c r="M54" i="9" s="1"/>
  <c r="N57" i="9" s="1"/>
  <c r="D6" i="74" l="1"/>
  <c r="C6" i="74"/>
  <c r="P57" i="9"/>
  <c r="N58" i="9"/>
  <c r="N59" i="9"/>
  <c r="N60" i="9" l="1"/>
  <c r="N61" i="9"/>
  <c r="G118" i="9"/>
  <c r="E118" i="9" s="1"/>
  <c r="G4" i="52" l="1"/>
  <c r="B52" i="72" s="1"/>
  <c r="F118" i="9"/>
  <c r="D118" i="9"/>
  <c r="E4" i="52"/>
  <c r="B48" i="72" s="1"/>
  <c r="F119" i="9" l="1"/>
  <c r="F5" i="52" s="1"/>
  <c r="B53" i="72" s="1"/>
  <c r="F4" i="52"/>
  <c r="B51" i="72" s="1"/>
  <c r="D4" i="52"/>
  <c r="B47"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<sst xmlns="http://schemas.openxmlformats.org/spreadsheetml/2006/main" count="8897" uniqueCount="3841">
  <si>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</si>
  <si>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</si>
  <si>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</si>
  <si>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</si>
  <si>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</si>
  <si>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</si>
  <si>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</si>
  <si>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</si>
  <si>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</si>
  <si>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</si>
  <si>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</si>
  <si>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</si>
  <si>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</si>
  <si>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</si>
  <si>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</si>
  <si>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</si>
  <si>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</si>
  <si>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</si>
  <si>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</si>
  <si>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</si>
  <si>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</si>
  <si>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</si>
  <si>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</si>
  <si>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</si>
  <si>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</si>
  <si>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</si>
  <si>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</si>
  <si>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</si>
  <si>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</si>
  <si>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</si>
  <si>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</si>
  <si>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</si>
  <si>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</si>
  <si>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</si>
  <si>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</si>
  <si>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</si>
  <si>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</si>
  <si>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</si>
  <si>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</si>
  <si>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</si>
  <si>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</si>
  <si>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</si>
  <si>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</si>
  <si>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</si>
  <si>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</si>
  <si>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</si>
  <si>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</si>
  <si>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</si>
  <si>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</si>
  <si>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</si>
  <si>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</si>
  <si>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</si>
  <si>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</si>
  <si>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</si>
  <si>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</si>
  <si>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</si>
  <si>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</si>
  <si>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</si>
  <si>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</si>
  <si>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</si>
  <si>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</si>
  <si>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</si>
  <si>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</si>
  <si>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</si>
  <si>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</si>
  <si>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</si>
  <si>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</si>
  <si>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</si>
  <si>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</si>
  <si>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</si>
  <si>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</si>
  <si>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</si>
  <si>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</si>
  <si>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</si>
  <si>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</si>
  <si>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</si>
  <si>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</si>
  <si>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</si>
  <si>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</si>
  <si>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</si>
  <si>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</si>
  <si>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</si>
  <si>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</si>
  <si>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</si>
  <si>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</si>
  <si>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</si>
  <si>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</si>
  <si>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</si>
  <si>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</si>
  <si>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</si>
  <si>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</si>
  <si>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</si>
  <si>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</si>
  <si>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</si>
  <si>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</si>
  <si>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</si>
  <si>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</si>
  <si>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</si>
  <si>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</si>
  <si>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</si>
  <si>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</si>
  <si>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</si>
  <si>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</si>
  <si>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</si>
  <si>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</si>
  <si>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</si>
  <si>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</si>
  <si>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</si>
  <si>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</si>
  <si>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</si>
  <si>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</si>
  <si>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</si>
  <si>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</si>
  <si>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</si>
  <si>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</si>
  <si>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</si>
  <si>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</si>
  <si>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</si>
  <si>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</si>
  <si>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</si>
  <si>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</si>
  <si>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</si>
  <si>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</si>
  <si>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</si>
  <si>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</si>
  <si>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</si>
  <si>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</si>
  <si>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</si>
  <si>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</si>
  <si>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</si>
  <si>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</si>
  <si>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</si>
  <si>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</si>
  <si>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</si>
  <si>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</si>
  <si>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</si>
  <si>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</si>
  <si>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</si>
  <si>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</si>
  <si>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</si>
  <si>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</si>
  <si>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</si>
  <si>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</si>
  <si>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</si>
  <si>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</si>
  <si>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</si>
  <si>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</si>
  <si>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</si>
  <si>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</si>
  <si>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</si>
  <si>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</si>
  <si>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</si>
  <si>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</si>
  <si>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</si>
  <si>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</si>
  <si>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</si>
  <si>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</si>
  <si>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</si>
  <si>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</si>
  <si>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</si>
  <si>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</si>
  <si>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</si>
  <si>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</si>
  <si>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</si>
  <si>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</si>
  <si>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</si>
  <si>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</si>
  <si>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</si>
  <si>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</si>
  <si>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</si>
  <si>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</si>
  <si>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</si>
  <si>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</si>
  <si>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</si>
  <si>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</si>
  <si>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</si>
  <si>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</si>
  <si>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</si>
  <si>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</si>
  <si>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</si>
  <si>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</si>
  <si>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</si>
  <si>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</si>
  <si>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</si>
  <si>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</si>
  <si>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</si>
  <si>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</si>
  <si>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</si>
  <si>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</si>
  <si>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</si>
  <si>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</si>
  <si>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</si>
  <si>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</si>
  <si>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</si>
  <si>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</si>
  <si>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</si>
  <si>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</si>
  <si>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</si>
  <si>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</si>
  <si>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</si>
  <si>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</si>
  <si>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</si>
  <si>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</si>
  <si>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</si>
  <si>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</si>
  <si>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</si>
  <si>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</si>
  <si>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</si>
  <si>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</si>
  <si>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</si>
  <si>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</si>
  <si>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</si>
  <si>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</si>
  <si>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</si>
  <si>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</si>
  <si>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</si>
  <si>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</si>
  <si>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</si>
  <si>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</si>
  <si>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</si>
  <si>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</si>
  <si>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</si>
  <si>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</si>
  <si>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</si>
  <si>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</si>
  <si>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</si>
  <si>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</si>
  <si>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</si>
  <si>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</si>
  <si>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</si>
  <si>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</si>
  <si>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</si>
  <si>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</si>
  <si>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</si>
  <si>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</si>
  <si>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</si>
  <si>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</si>
  <si>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</si>
  <si>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</si>
  <si>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</si>
  <si>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</si>
  <si>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</si>
  <si>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</si>
  <si>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</si>
  <si>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</si>
  <si>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</si>
  <si>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</si>
  <si>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</si>
  <si>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</si>
  <si>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</si>
  <si>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</si>
  <si>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</si>
  <si>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</si>
  <si>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</si>
  <si>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</si>
  <si>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</si>
  <si>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</si>
  <si>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</si>
  <si>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</si>
  <si>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</si>
  <si>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</si>
  <si>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</si>
  <si>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</si>
  <si>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</si>
  <si>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</si>
  <si>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</si>
  <si>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</si>
  <si>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</si>
  <si>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</si>
  <si>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</si>
  <si>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</si>
  <si>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</si>
  <si>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</si>
  <si>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</si>
  <si>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</si>
  <si>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</si>
  <si>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</si>
  <si>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</si>
  <si>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</si>
  <si>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</si>
  <si>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</si>
  <si>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</si>
  <si>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</si>
  <si>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</si>
  <si>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</si>
  <si>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</si>
  <si>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</si>
  <si>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</si>
  <si>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</si>
  <si>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</si>
  <si>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</si>
  <si>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</si>
  <si>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</si>
  <si>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</si>
  <si>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</si>
  <si>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</si>
  <si>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</si>
  <si>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</si>
  <si>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</si>
  <si>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</si>
  <si>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</si>
  <si>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</si>
  <si>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</si>
  <si>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</si>
  <si>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</si>
  <si>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</si>
  <si>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</si>
  <si>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</si>
  <si>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</si>
  <si>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</si>
  <si>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</si>
  <si>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</si>
  <si>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</si>
  <si>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</si>
  <si>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</si>
  <si>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</si>
  <si>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</si>
  <si>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</si>
  <si>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</si>
  <si>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</si>
  <si>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</si>
  <si>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</si>
  <si>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</si>
  <si>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</si>
  <si>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</si>
  <si>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</si>
  <si>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</si>
  <si>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</si>
  <si>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</si>
  <si>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</si>
  <si>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</si>
  <si>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</si>
  <si>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</si>
  <si>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</si>
  <si>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</si>
  <si>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</si>
  <si>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</si>
  <si>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</si>
  <si>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</si>
  <si>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</si>
  <si>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</si>
  <si>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</si>
  <si>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</si>
  <si>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</si>
  <si>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</si>
  <si>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</si>
  <si>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</si>
  <si>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</si>
  <si>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</si>
  <si>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</si>
  <si>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</si>
  <si>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</si>
  <si>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</si>
  <si>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</si>
  <si>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</si>
  <si>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</si>
  <si>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</si>
  <si>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</si>
  <si>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</si>
  <si>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</si>
  <si>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</si>
  <si>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</si>
  <si>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</si>
  <si>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</si>
  <si>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</si>
  <si>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</si>
  <si>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</si>
  <si>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</si>
  <si>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</si>
  <si>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</si>
  <si>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</si>
  <si>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</si>
  <si>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</si>
  <si>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</si>
  <si>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</si>
  <si>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</si>
  <si>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</si>
  <si>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</si>
  <si>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</si>
  <si>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</si>
  <si>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</si>
  <si>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</si>
  <si>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</si>
  <si>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</si>
  <si>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</si>
  <si>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</si>
  <si>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</si>
  <si>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</si>
  <si>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</si>
  <si>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</si>
  <si>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</si>
  <si>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</si>
  <si>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</si>
  <si>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</si>
  <si>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</si>
  <si>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</si>
  <si>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</si>
  <si>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</si>
  <si>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</si>
  <si>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</si>
  <si>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</si>
  <si>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</si>
  <si>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</si>
  <si>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</si>
  <si>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</si>
  <si>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</si>
  <si>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</si>
  <si>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</si>
  <si>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</si>
  <si>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</si>
  <si>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</si>
  <si>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</si>
  <si>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</si>
  <si>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</si>
  <si>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</si>
  <si>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</si>
  <si>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</si>
  <si>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</si>
  <si>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</si>
  <si>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</si>
  <si>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</si>
  <si>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</si>
  <si>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</si>
  <si>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</si>
  <si>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</si>
  <si>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</si>
  <si>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</si>
  <si>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</si>
  <si>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</si>
  <si>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</si>
  <si>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</si>
  <si>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</si>
  <si>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</si>
  <si>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</si>
  <si>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</si>
  <si>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</si>
  <si>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</si>
  <si>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</si>
  <si>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</si>
  <si>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</si>
  <si>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</si>
  <si>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</si>
  <si>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</si>
  <si>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</si>
  <si>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</si>
  <si>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</si>
  <si>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</si>
  <si>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</si>
  <si>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</si>
  <si>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</si>
  <si>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</si>
  <si>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</si>
  <si>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</si>
  <si>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</si>
  <si>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</si>
  <si>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</si>
  <si>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</si>
  <si>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</si>
  <si>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</si>
  <si>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</si>
  <si>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</si>
  <si>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</si>
  <si>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</si>
  <si>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</si>
  <si>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</si>
  <si>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</si>
  <si>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</si>
  <si>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</si>
  <si>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</si>
  <si>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</si>
  <si>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</si>
  <si>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</si>
  <si>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</si>
  <si>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</si>
  <si>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</si>
  <si>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</si>
  <si>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</si>
  <si>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</si>
  <si>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</si>
  <si>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</si>
  <si>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</si>
  <si>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</si>
  <si>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</si>
  <si>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</si>
  <si>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</si>
  <si>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</si>
  <si>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</si>
  <si>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</si>
  <si>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</si>
  <si>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</si>
  <si>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</si>
  <si>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</si>
  <si>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</si>
  <si>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</si>
  <si>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</si>
  <si>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</si>
  <si>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</si>
  <si>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</si>
  <si>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</si>
  <si>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</si>
  <si>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</si>
  <si>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</si>
  <si>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</si>
  <si>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</si>
  <si>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</si>
  <si>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</si>
  <si>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</si>
  <si>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</si>
  <si>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</si>
  <si>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</si>
  <si>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</si>
  <si>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</si>
  <si>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</si>
  <si>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</si>
  <si>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</si>
  <si>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</si>
  <si>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</si>
  <si>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</si>
  <si>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</si>
  <si>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</si>
  <si>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</si>
  <si>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</si>
  <si>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</si>
  <si>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</si>
  <si>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</si>
  <si>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</si>
  <si>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</si>
  <si>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</si>
  <si>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</si>
  <si>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</si>
  <si>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</si>
  <si>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</si>
  <si>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</si>
  <si>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</si>
  <si>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</si>
  <si>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</si>
  <si>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</si>
  <si>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</si>
  <si>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</si>
  <si>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</si>
  <si>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</si>
  <si>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</si>
  <si>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</si>
  <si>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</si>
  <si>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</si>
  <si>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</si>
  <si>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</si>
  <si>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</si>
  <si>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</si>
  <si>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</si>
  <si>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</si>
  <si>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</si>
  <si>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</si>
  <si>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</si>
  <si>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</si>
  <si>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</si>
  <si>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</si>
  <si>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</si>
  <si>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</si>
  <si>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</si>
  <si>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</si>
  <si>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</si>
  <si>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</si>
  <si>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</si>
  <si>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</si>
  <si>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</si>
  <si>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</si>
  <si>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</si>
  <si>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</si>
  <si>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</si>
  <si>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</si>
  <si>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</si>
  <si>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</si>
  <si>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</si>
  <si>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</si>
  <si>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</si>
  <si>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</si>
  <si>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</si>
  <si>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</si>
  <si>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</si>
  <si>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</si>
  <si>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</si>
  <si>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</si>
  <si>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</si>
  <si>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</si>
  <si>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</si>
  <si>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</si>
  <si>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</si>
  <si>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</si>
  <si>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</si>
  <si>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</si>
  <si>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</si>
  <si>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</si>
  <si>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</si>
  <si>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</si>
  <si>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</si>
  <si>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</si>
  <si>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</si>
  <si>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</si>
  <si>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</si>
  <si>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</si>
  <si>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</si>
  <si>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</si>
  <si>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</si>
  <si>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</si>
  <si>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</si>
  <si>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</si>
  <si>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</si>
  <si>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</si>
  <si>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</si>
  <si>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</si>
  <si>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</si>
  <si>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</si>
  <si>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</si>
  <si>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</si>
  <si>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</si>
  <si>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</si>
  <si>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</si>
  <si>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</si>
  <si>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</si>
  <si>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</si>
  <si>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</si>
  <si>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</si>
  <si>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</si>
  <si>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</si>
  <si>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</si>
  <si>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</si>
  <si>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</si>
  <si>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</si>
  <si>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</si>
  <si>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</si>
  <si>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</si>
  <si>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</si>
  <si>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</si>
  <si>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</si>
  <si>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</si>
  <si>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</si>
  <si>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</si>
  <si>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</si>
  <si>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</si>
  <si>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</si>
  <si>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</si>
  <si>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</si>
  <si>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</si>
  <si>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</si>
  <si>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</si>
  <si>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</si>
  <si>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</si>
  <si>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</si>
  <si>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</si>
  <si>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</si>
  <si>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</si>
  <si>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</si>
  <si>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</si>
  <si>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</si>
  <si>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</si>
  <si>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</si>
  <si>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</si>
  <si>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</si>
  <si>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</si>
  <si>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</si>
  <si>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</si>
  <si>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</si>
  <si>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</si>
  <si>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</si>
  <si>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</si>
  <si>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</si>
  <si>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</si>
  <si>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</si>
  <si>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</si>
  <si>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</si>
  <si>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</si>
  <si>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</si>
  <si>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</si>
  <si>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</si>
  <si>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</si>
  <si>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</si>
  <si>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</si>
  <si>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</si>
  <si>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</si>
  <si>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</si>
  <si>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</si>
  <si>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</si>
  <si>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</si>
  <si>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</si>
  <si>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</si>
  <si>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</si>
  <si>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</si>
  <si>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</si>
  <si>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</si>
  <si>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</si>
  <si>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</si>
  <si>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</si>
  <si>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</si>
  <si>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</si>
  <si>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</si>
  <si>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</si>
  <si>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</si>
  <si>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</si>
  <si>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</si>
  <si>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</si>
  <si>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</si>
  <si>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</si>
  <si>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</si>
  <si>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</si>
  <si>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</si>
  <si>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</si>
  <si>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</si>
  <si>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</si>
  <si>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</si>
  <si>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</si>
  <si>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</si>
  <si>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</si>
  <si>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</si>
  <si>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</si>
  <si>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</si>
  <si>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</si>
  <si>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</si>
  <si>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</si>
  <si>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</si>
  <si>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</si>
  <si>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</si>
  <si>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</si>
  <si>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</si>
  <si>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</si>
  <si>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</si>
  <si>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</si>
  <si>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</si>
  <si>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</si>
  <si>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</si>
  <si>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</si>
  <si>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</si>
  <si>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</si>
  <si>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</si>
  <si>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</si>
  <si>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</si>
  <si>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</si>
  <si>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</si>
  <si>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</si>
  <si>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</si>
  <si>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</si>
  <si>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</si>
  <si>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</si>
  <si>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</si>
  <si>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</si>
  <si>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</si>
  <si>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</si>
  <si>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</si>
  <si>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</si>
  <si>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</si>
  <si>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</si>
  <si>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</si>
  <si>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</si>
  <si>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</si>
  <si>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</si>
  <si>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</si>
  <si>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</si>
  <si>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</si>
  <si>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</si>
  <si>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</si>
  <si>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</si>
  <si>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</si>
  <si>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</si>
  <si>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</si>
  <si>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</si>
  <si>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</si>
  <si>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</si>
  <si>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</si>
  <si>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</si>
  <si>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</si>
  <si>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</si>
  <si>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</si>
  <si>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</si>
  <si>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</si>
  <si>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</si>
  <si>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</si>
  <si>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</si>
  <si>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</si>
  <si>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</si>
  <si>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</si>
  <si>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</si>
  <si>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</si>
  <si>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</si>
  <si>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</si>
  <si>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</si>
  <si>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</si>
  <si>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</si>
  <si>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</si>
  <si>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</si>
  <si>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</si>
  <si>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</si>
  <si>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</si>
  <si>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</si>
  <si>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</si>
  <si>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</si>
  <si>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</si>
  <si>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</si>
  <si>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</si>
  <si>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</si>
  <si>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</si>
  <si>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</si>
  <si>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</si>
  <si>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</si>
  <si>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</si>
  <si>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</si>
  <si>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</si>
  <si>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</si>
  <si>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</si>
  <si>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</si>
  <si>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</si>
  <si>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</si>
  <si>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</si>
  <si>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</si>
  <si>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</si>
  <si>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</si>
  <si>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</si>
  <si>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</si>
  <si>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</si>
  <si>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</si>
  <si>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</si>
  <si>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</si>
  <si>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</si>
  <si>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</si>
  <si>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</si>
  <si>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</si>
  <si>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</si>
  <si>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</si>
  <si>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</si>
  <si>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</si>
  <si>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</si>
  <si>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</si>
  <si>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</si>
  <si>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</si>
  <si>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</si>
  <si>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</si>
  <si>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</si>
  <si>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</si>
  <si>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</si>
  <si>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</si>
  <si>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</si>
  <si>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</si>
  <si>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</si>
  <si>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</si>
  <si>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</si>
  <si>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</si>
  <si>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</si>
  <si>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</si>
  <si>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</si>
  <si>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</si>
  <si>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</si>
  <si>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</si>
  <si>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</si>
  <si>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</si>
  <si>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</si>
  <si>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</si>
  <si>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</si>
  <si>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</si>
  <si>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</si>
  <si>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</si>
  <si>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</si>
  <si>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</si>
  <si>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</si>
  <si>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</si>
  <si>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</si>
  <si>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</si>
  <si>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</si>
  <si>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</si>
  <si>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</si>
  <si>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</si>
  <si>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</si>
  <si>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</si>
  <si>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</si>
  <si>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</si>
  <si>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</si>
  <si>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</si>
  <si>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</si>
  <si>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</si>
  <si>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</si>
  <si>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</si>
  <si>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</si>
  <si>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</si>
  <si>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</si>
  <si>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</si>
  <si>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</si>
  <si>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</si>
  <si>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</si>
  <si>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</si>
  <si>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</si>
  <si>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</si>
  <si>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</si>
  <si>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</si>
  <si>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</si>
  <si>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</si>
  <si>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</si>
  <si>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</si>
  <si>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</si>
  <si>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</si>
  <si>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</si>
  <si>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</si>
  <si>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</si>
  <si>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</si>
  <si>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</si>
  <si>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</si>
  <si>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</si>
  <si>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</si>
  <si>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</si>
  <si>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</si>
  <si>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</si>
  <si>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</si>
  <si>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</si>
  <si>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</si>
  <si>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</si>
  <si>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</si>
  <si>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</si>
  <si>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</si>
  <si>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</si>
  <si>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</si>
  <si>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</si>
  <si>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</si>
  <si>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</si>
  <si>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</si>
  <si>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</si>
  <si>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</si>
  <si>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</si>
  <si>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</si>
  <si>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</si>
  <si>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</si>
  <si>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</si>
  <si>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</si>
  <si>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</si>
  <si>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</si>
  <si>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</si>
  <si>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</si>
  <si>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</si>
  <si>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</si>
  <si>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</si>
  <si>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</si>
  <si>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</si>
  <si>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</si>
  <si>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</si>
  <si>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</si>
  <si>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</si>
  <si>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</si>
  <si>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</si>
  <si>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</si>
  <si>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</si>
  <si>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</si>
  <si>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</si>
  <si>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</si>
  <si>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</si>
  <si>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</si>
  <si>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</si>
  <si>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</si>
  <si>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</si>
  <si>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</si>
  <si>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</si>
  <si>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</si>
  <si>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</si>
  <si>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</si>
  <si>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</si>
  <si>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</si>
  <si>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</si>
  <si>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</si>
  <si>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</si>
  <si>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</si>
  <si>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</si>
  <si>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</si>
  <si>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</si>
  <si>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</si>
  <si>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</si>
  <si>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</si>
  <si>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</si>
  <si>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</si>
  <si>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</si>
  <si>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</si>
  <si>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</si>
  <si>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</si>
  <si>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</si>
  <si>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</si>
  <si>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</si>
  <si>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</si>
  <si>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</si>
  <si>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</si>
  <si>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</si>
  <si>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</si>
  <si>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</si>
  <si>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</si>
  <si>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</si>
  <si>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</si>
  <si>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</si>
  <si>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</si>
  <si>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</si>
  <si>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</si>
  <si>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</si>
  <si>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</si>
  <si>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</si>
  <si>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</si>
  <si>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</si>
  <si>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</si>
  <si>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</si>
  <si>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</si>
  <si>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</si>
  <si>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</si>
  <si>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</si>
  <si>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</si>
  <si>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</si>
  <si>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</si>
  <si>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</si>
  <si>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</si>
  <si>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</si>
  <si>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</si>
  <si>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</si>
  <si>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</si>
  <si>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</si>
  <si>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</si>
  <si>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</si>
  <si>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</si>
  <si>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</si>
  <si>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</si>
  <si>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</si>
  <si>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</si>
  <si>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</si>
  <si>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</si>
  <si>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</si>
  <si>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</si>
  <si>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</si>
  <si>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</si>
  <si>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</si>
  <si>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</si>
  <si>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</si>
  <si>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</si>
  <si>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</si>
  <si>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</si>
  <si>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</si>
  <si>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</si>
  <si>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</si>
  <si>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</si>
  <si>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</si>
  <si>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</si>
  <si>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</si>
  <si>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</si>
  <si>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</si>
  <si>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</si>
  <si>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</si>
  <si>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</si>
  <si>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</si>
  <si>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</si>
  <si>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</si>
  <si>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</si>
  <si>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</si>
  <si>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</si>
  <si>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</si>
  <si>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</si>
  <si>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</si>
  <si>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</si>
  <si>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</si>
  <si>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</si>
  <si>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</si>
  <si>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</si>
  <si>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</si>
  <si>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</si>
  <si>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</si>
  <si>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</si>
  <si>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</si>
  <si>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</si>
  <si>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</si>
  <si>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</si>
  <si>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</si>
  <si>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</si>
  <si>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</si>
  <si>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</si>
  <si>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</si>
  <si>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</si>
  <si>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</si>
  <si>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</si>
  <si>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</si>
  <si>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</si>
  <si>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</si>
  <si>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</si>
  <si>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</si>
  <si>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</si>
  <si>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</si>
  <si>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</si>
  <si>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</si>
  <si>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</si>
  <si>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</si>
  <si>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</si>
  <si>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</si>
  <si>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</si>
  <si>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</si>
  <si>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</si>
  <si>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</si>
  <si>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</si>
  <si>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</si>
  <si>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</si>
  <si>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</si>
  <si>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</si>
  <si>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</si>
  <si>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</si>
  <si>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</si>
  <si>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</si>
  <si>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</si>
  <si>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</si>
  <si>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</si>
  <si>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</si>
  <si>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</si>
  <si>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</si>
  <si>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</si>
  <si>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</si>
  <si>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</si>
  <si>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</si>
  <si>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</si>
  <si>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</si>
  <si>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</si>
  <si>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</si>
  <si>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</si>
  <si>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</si>
  <si>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</si>
  <si>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</si>
  <si>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</si>
  <si>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</si>
  <si>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</si>
  <si>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</si>
  <si>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</si>
  <si>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</si>
  <si>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</si>
  <si>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</si>
  <si>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</si>
  <si>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</si>
  <si>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</si>
  <si>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</si>
  <si>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</si>
  <si>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</si>
  <si>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</si>
  <si>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</si>
  <si>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</si>
  <si>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</si>
  <si>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</si>
  <si>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</si>
  <si>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</si>
  <si>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</si>
  <si>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</si>
  <si>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</si>
  <si>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</si>
  <si>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</si>
  <si>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</si>
  <si>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</si>
  <si>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</si>
  <si>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</si>
  <si>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</si>
  <si>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</si>
  <si>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</si>
  <si>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</si>
  <si>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</si>
  <si>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</si>
  <si>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</si>
  <si>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</si>
  <si>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</si>
  <si>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</si>
  <si>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</si>
  <si>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</si>
  <si>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</si>
  <si>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</si>
  <si>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</si>
  <si>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</si>
  <si>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</si>
  <si>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</si>
  <si>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</si>
  <si>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</si>
  <si>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</si>
  <si>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</si>
  <si>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</si>
  <si>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</si>
  <si>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</si>
  <si>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</si>
  <si>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</si>
  <si>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</si>
  <si>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</si>
  <si>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</si>
  <si>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</si>
  <si>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</si>
  <si>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</si>
  <si>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</si>
  <si>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</si>
  <si>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</si>
  <si>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</si>
  <si>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</si>
  <si>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</si>
  <si>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</si>
  <si>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</si>
  <si>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</si>
  <si>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</si>
  <si>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</si>
  <si>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</si>
  <si>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</si>
  <si>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</si>
  <si>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</si>
  <si>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</si>
  <si>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</si>
  <si>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</si>
  <si>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</si>
  <si>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</si>
  <si>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</si>
  <si>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</si>
  <si>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</si>
  <si>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</si>
  <si>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</si>
  <si>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</si>
  <si>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</si>
  <si>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</si>
  <si>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</si>
  <si>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</si>
  <si>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</si>
  <si>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</si>
  <si>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</si>
  <si>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</si>
  <si>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</si>
  <si>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</si>
  <si>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</si>
  <si>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</si>
  <si>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</si>
  <si>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</si>
  <si>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</si>
  <si>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</si>
  <si>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</si>
  <si>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</si>
  <si>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</si>
  <si>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</si>
  <si>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</si>
  <si>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</si>
  <si>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</si>
  <si>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</si>
  <si>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</si>
  <si>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</si>
  <si>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</si>
  <si>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</si>
  <si>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</si>
  <si>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</si>
  <si>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</si>
  <si>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</si>
  <si>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</si>
  <si>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</si>
  <si>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</si>
  <si>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</si>
  <si>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</si>
  <si>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</si>
  <si>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</si>
  <si>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</si>
  <si>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</si>
  <si>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</si>
  <si>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</si>
  <si>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</si>
  <si>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</si>
  <si>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</si>
  <si>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</si>
  <si>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</si>
  <si>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</si>
  <si>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</si>
  <si>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</si>
  <si>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</si>
  <si>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</si>
  <si>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</si>
  <si>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</si>
  <si>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</si>
  <si>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</si>
  <si>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</si>
  <si>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</si>
  <si>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</si>
  <si>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</si>
  <si>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</si>
  <si>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</si>
  <si>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</si>
  <si>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</si>
  <si>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</si>
  <si>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</si>
  <si>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</si>
  <si>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</si>
  <si>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</si>
  <si>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</si>
  <si>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</si>
  <si>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</si>
  <si>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</si>
  <si>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</si>
  <si>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</si>
  <si>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</si>
  <si>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</si>
  <si>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</si>
  <si>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</si>
  <si>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</si>
  <si>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</si>
  <si>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</si>
  <si>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</si>
  <si>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</si>
  <si>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</si>
  <si>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</si>
  <si>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</si>
  <si>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</si>
  <si>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</si>
  <si>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</si>
  <si>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</si>
  <si>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</si>
  <si>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</si>
  <si>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</si>
  <si>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</si>
  <si>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</si>
  <si>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</si>
  <si>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</si>
  <si>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</si>
  <si>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</si>
  <si>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</si>
  <si>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</si>
  <si>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</si>
  <si>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</si>
  <si>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</si>
  <si>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</si>
  <si>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</si>
  <si>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</si>
  <si>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</si>
  <si>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</si>
  <si>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</si>
  <si>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</si>
  <si>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</si>
  <si>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</si>
  <si>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</si>
  <si>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</si>
  <si>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</si>
  <si>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</si>
  <si>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</si>
  <si>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</si>
  <si>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</si>
  <si>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</si>
  <si>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</si>
  <si>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</si>
  <si>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</si>
  <si>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</si>
  <si>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</si>
  <si>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</si>
  <si>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</si>
  <si>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</si>
  <si>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</si>
  <si>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</si>
  <si>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</si>
  <si>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</si>
  <si>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</si>
  <si>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</si>
  <si>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</si>
  <si>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</si>
  <si>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</si>
  <si>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</si>
  <si>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</si>
  <si>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</si>
  <si>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</si>
  <si>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</si>
  <si>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</si>
  <si>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</si>
  <si>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</si>
  <si>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</si>
  <si>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</si>
  <si>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</si>
  <si>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</si>
  <si>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</si>
  <si>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</si>
  <si>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</si>
  <si>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</si>
  <si>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</si>
  <si>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</si>
  <si>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</si>
  <si>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</si>
  <si>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</si>
  <si>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</si>
  <si>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</si>
  <si>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</si>
  <si>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</si>
  <si>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</si>
  <si>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</si>
  <si>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</si>
  <si>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</si>
  <si>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</si>
  <si>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</si>
  <si>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</si>
  <si>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</si>
  <si>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</si>
  <si>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</si>
  <si>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</si>
  <si>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</si>
  <si>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</si>
  <si>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</si>
  <si>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</si>
  <si>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</si>
  <si>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</si>
  <si>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</si>
  <si>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</si>
  <si>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</si>
  <si>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</si>
  <si>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</si>
  <si>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</si>
  <si>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</si>
  <si>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</si>
  <si>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</si>
  <si>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</si>
  <si>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</si>
  <si>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</si>
  <si>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</si>
  <si>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</si>
  <si>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</si>
  <si>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</si>
  <si>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</si>
  <si>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</si>
  <si>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</si>
  <si>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</si>
  <si>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</si>
  <si>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</si>
  <si>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</si>
  <si>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</si>
  <si>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</si>
  <si>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</si>
  <si>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</si>
  <si>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</si>
  <si>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</si>
  <si>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</si>
  <si>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</si>
  <si>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</si>
  <si>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</si>
  <si>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</si>
  <si>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</si>
  <si>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</si>
  <si>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</si>
  <si>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</si>
  <si>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</si>
  <si>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</si>
  <si>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</si>
  <si>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</si>
  <si>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</si>
  <si>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</si>
  <si>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</si>
  <si>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</si>
  <si>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</si>
  <si>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</si>
  <si>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</si>
  <si>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</si>
  <si>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</si>
  <si>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</si>
  <si>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</si>
  <si>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</si>
  <si>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</si>
  <si>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</si>
  <si>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</si>
  <si>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</si>
  <si>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</si>
  <si>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</si>
  <si>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</si>
  <si>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</si>
  <si>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</si>
  <si>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</si>
  <si>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</si>
  <si>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</si>
  <si>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</si>
  <si>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</si>
  <si>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</si>
  <si>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</si>
  <si>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</si>
  <si>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</si>
  <si>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</si>
  <si>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</si>
  <si>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</si>
  <si>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</si>
  <si>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</si>
  <si>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</si>
  <si>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</si>
  <si>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</si>
  <si>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</si>
  <si>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</si>
  <si>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</si>
  <si>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</si>
  <si>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</si>
  <si>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</si>
  <si>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</si>
  <si>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</si>
  <si>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</si>
  <si>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</si>
  <si>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</si>
  <si>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</si>
  <si>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</si>
  <si>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</si>
  <si>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</si>
  <si>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</si>
  <si>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</si>
  <si>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</si>
  <si>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</si>
  <si>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</si>
  <si>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</si>
  <si>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</si>
  <si>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</si>
  <si>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</si>
  <si>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</si>
  <si>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</si>
  <si>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</si>
  <si>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</si>
  <si>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</si>
  <si>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</si>
  <si>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</si>
  <si>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</si>
  <si>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</si>
  <si>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</si>
  <si>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</si>
  <si>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</si>
  <si>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</si>
  <si>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</si>
  <si>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</si>
  <si>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</si>
  <si>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</si>
  <si>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</si>
  <si>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</si>
  <si>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</si>
  <si>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</si>
  <si>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</si>
  <si>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</si>
  <si>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</si>
  <si>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</si>
  <si>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</si>
  <si>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</si>
  <si>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</si>
  <si>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</si>
  <si>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</si>
  <si>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</si>
  <si>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</si>
  <si>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</si>
  <si>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</si>
  <si>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</si>
  <si>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</si>
  <si>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</si>
  <si>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</si>
  <si>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</si>
  <si>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</si>
  <si>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</si>
  <si>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</si>
  <si>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</si>
  <si>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</si>
  <si>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</si>
  <si>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</si>
  <si>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</si>
  <si>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</si>
  <si>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</si>
  <si>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</si>
  <si>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</si>
  <si>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</si>
  <si>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</si>
  <si>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</si>
  <si>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</si>
  <si>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</si>
  <si>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</si>
  <si>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</si>
  <si>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</si>
  <si>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</si>
  <si>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</si>
  <si>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</si>
  <si>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</si>
  <si>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</si>
  <si>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</si>
  <si>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</si>
  <si>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</si>
  <si>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</si>
  <si>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</si>
  <si>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</si>
  <si>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</si>
  <si>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</si>
  <si>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</si>
  <si>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</si>
  <si>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</si>
  <si>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</si>
  <si>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</si>
  <si>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</si>
  <si>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</si>
  <si>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</si>
  <si>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</si>
  <si>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</si>
  <si>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</si>
  <si>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</si>
  <si>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</si>
  <si>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</si>
  <si>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</si>
  <si>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</si>
  <si>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</si>
  <si>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</si>
  <si>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</si>
  <si>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</si>
  <si>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</si>
  <si>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</si>
  <si>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</si>
  <si>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</si>
  <si>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</si>
  <si>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</si>
  <si>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</si>
  <si>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</si>
  <si>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</si>
  <si>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</si>
  <si>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</si>
  <si>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</si>
  <si>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</si>
  <si>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</si>
  <si>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</si>
  <si>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</si>
  <si>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</si>
  <si>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</si>
  <si>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</si>
  <si>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</si>
  <si>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</si>
  <si>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</si>
  <si>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</si>
  <si>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</si>
  <si>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</si>
  <si>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</si>
  <si>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</si>
  <si>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</si>
  <si>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</si>
  <si>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</si>
  <si>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</si>
  <si>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</si>
  <si>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</si>
  <si>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</si>
  <si>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</si>
  <si>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</si>
  <si>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</si>
  <si>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</si>
  <si>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</si>
  <si>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</si>
  <si>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</si>
  <si>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</si>
  <si>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</si>
  <si>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</si>
  <si>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</si>
  <si>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</si>
  <si>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</si>
  <si>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</si>
  <si>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</si>
  <si>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</si>
  <si>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</si>
  <si>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</si>
  <si>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</si>
  <si>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</si>
  <si>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</si>
  <si>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</si>
  <si>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</si>
  <si>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</si>
  <si>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</si>
  <si>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</si>
  <si>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</si>
  <si>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</si>
  <si>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</si>
  <si>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</si>
  <si>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</si>
  <si>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</si>
  <si>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</si>
  <si>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</si>
  <si>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</si>
  <si>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</si>
  <si>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</si>
  <si>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</si>
  <si>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</si>
  <si>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</si>
  <si>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</si>
  <si>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</si>
  <si>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</si>
  <si>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</si>
  <si>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</si>
  <si>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</si>
  <si>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</si>
  <si>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</si>
  <si>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</si>
  <si>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</si>
  <si>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</si>
  <si>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</si>
  <si>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</si>
  <si>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</si>
  <si>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</si>
  <si>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</si>
  <si>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</si>
  <si>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</si>
  <si>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</si>
  <si>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</si>
  <si>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</si>
  <si>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</si>
  <si>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</si>
  <si>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</si>
  <si>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</si>
  <si>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</si>
  <si>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</si>
  <si>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</si>
  <si>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</si>
  <si>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</si>
  <si>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</si>
  <si>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</si>
  <si>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</si>
  <si>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</si>
  <si>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</si>
  <si>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</si>
  <si>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</si>
  <si>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</si>
  <si>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</si>
  <si>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</si>
  <si>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</si>
  <si>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</si>
  <si>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</si>
  <si>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</si>
  <si>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</si>
  <si>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</si>
  <si>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</si>
  <si>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</si>
  <si>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</si>
  <si>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</si>
  <si>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</si>
  <si>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</si>
  <si>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</si>
  <si>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</si>
  <si>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</si>
  <si>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</si>
  <si>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</si>
  <si>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</si>
  <si>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</si>
  <si>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</si>
  <si>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</si>
  <si>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</si>
  <si>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</si>
  <si>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</si>
  <si>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</si>
  <si>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</si>
  <si>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</si>
  <si>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</si>
  <si>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</si>
  <si>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</si>
  <si>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</si>
  <si>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</si>
  <si>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</si>
  <si>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</si>
  <si>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</si>
  <si>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</si>
  <si>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</si>
  <si>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</si>
  <si>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</si>
  <si>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</si>
  <si>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</si>
  <si>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</si>
  <si>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</si>
  <si>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</si>
  <si>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</si>
  <si>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</si>
  <si>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</si>
  <si>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</si>
  <si>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</si>
  <si>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</si>
  <si>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</si>
  <si>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</si>
  <si>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</si>
  <si>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</si>
  <si>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</si>
  <si>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</si>
  <si>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</si>
  <si>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</si>
  <si>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</si>
  <si>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</si>
  <si>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</si>
  <si>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</si>
  <si>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</si>
  <si>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</si>
  <si>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</si>
  <si>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</si>
  <si>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</si>
  <si>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</si>
  <si>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</si>
  <si>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</si>
  <si>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</si>
  <si>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</si>
  <si>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</si>
  <si>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</si>
  <si>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</si>
  <si>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</si>
  <si>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</si>
  <si>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</si>
  <si>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</si>
  <si>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</si>
  <si>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</si>
  <si>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</si>
  <si>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</si>
  <si>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</si>
  <si>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</si>
  <si>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</si>
  <si>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</si>
  <si>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</si>
  <si>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</si>
  <si>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</si>
  <si>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</si>
  <si>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</si>
  <si>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</si>
  <si>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</si>
  <si>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</si>
  <si>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</si>
  <si>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</si>
  <si>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</si>
  <si>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</si>
  <si>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</si>
  <si>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</si>
  <si>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</si>
  <si>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</si>
  <si>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</si>
  <si>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</si>
  <si>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</si>
  <si>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</si>
  <si>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</si>
  <si>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</si>
  <si>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</si>
  <si>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</si>
  <si>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</si>
  <si>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</si>
  <si>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</si>
  <si>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</si>
  <si>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</si>
  <si>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</si>
  <si>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</si>
  <si>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</si>
  <si>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</si>
  <si>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</si>
  <si>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</si>
  <si>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</si>
  <si>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</si>
  <si>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</si>
  <si>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</si>
  <si>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</si>
  <si>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</si>
  <si>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</si>
  <si>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</si>
  <si>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</si>
  <si>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</si>
  <si>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</si>
  <si>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</si>
  <si>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</si>
  <si>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</si>
  <si>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</si>
  <si>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</si>
  <si>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</si>
  <si>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</si>
  <si>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</si>
  <si>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</si>
  <si>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</si>
  <si>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</si>
  <si>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</si>
  <si>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</si>
  <si>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</si>
  <si>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</si>
  <si>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</si>
  <si>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</si>
  <si>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</si>
  <si>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</si>
  <si>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</si>
  <si>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</si>
  <si>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</si>
  <si>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</si>
  <si>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</si>
  <si>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</si>
  <si>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</si>
  <si>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</si>
  <si>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</si>
  <si>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</si>
  <si>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</si>
  <si>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</si>
  <si>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</si>
  <si>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</si>
  <si>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</si>
  <si>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</si>
  <si>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</si>
  <si>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</si>
  <si>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</si>
  <si>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</si>
  <si>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</si>
  <si>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</si>
  <si>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</si>
  <si>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</si>
  <si>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</si>
  <si>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</si>
  <si>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</si>
  <si>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</si>
  <si>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</si>
  <si>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</si>
  <si>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</si>
  <si>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</si>
  <si>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</si>
  <si>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</si>
  <si>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</si>
  <si>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</si>
  <si>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</si>
  <si>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</si>
  <si>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</si>
  <si>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</si>
  <si>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</si>
  <si>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</si>
  <si>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</si>
  <si>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</si>
  <si>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</si>
  <si>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</si>
  <si>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</si>
  <si>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</si>
  <si>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</si>
  <si>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</si>
  <si>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</si>
  <si>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</si>
  <si>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</si>
  <si>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</si>
  <si>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</si>
  <si>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</si>
  <si>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</si>
  <si>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</si>
  <si>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</si>
  <si>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</si>
  <si>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</si>
  <si>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</si>
  <si>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</si>
  <si>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</si>
  <si>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</si>
  <si>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</si>
  <si>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</si>
  <si>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</si>
  <si>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</si>
  <si>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</si>
  <si>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</si>
  <si>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</si>
  <si>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</si>
  <si>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</si>
  <si>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</si>
  <si>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</si>
  <si>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</si>
  <si>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</si>
  <si>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</si>
  <si>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</si>
  <si>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</si>
  <si>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</si>
  <si>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</si>
  <si>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</si>
  <si>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</si>
  <si>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</si>
  <si>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</si>
  <si>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</si>
  <si>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</si>
  <si>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</si>
  <si>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</si>
  <si>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</si>
  <si>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</si>
  <si>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</si>
  <si>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</si>
  <si>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</si>
  <si>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</si>
  <si>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</si>
  <si>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</si>
  <si>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</si>
  <si>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</si>
  <si>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</si>
  <si>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</si>
  <si>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</si>
  <si>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</si>
  <si>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</si>
  <si>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</si>
  <si>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</si>
  <si>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</si>
  <si>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</si>
  <si>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</si>
  <si>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</si>
  <si>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</si>
  <si>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</si>
  <si>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</si>
  <si>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</si>
  <si>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</si>
  <si>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</si>
  <si>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</si>
  <si>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</si>
  <si>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</si>
  <si>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</si>
  <si>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</si>
  <si>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</si>
  <si>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</si>
  <si>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</si>
  <si>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</si>
  <si>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</si>
  <si>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</si>
  <si>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</si>
  <si>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</si>
  <si>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</si>
  <si>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</si>
  <si>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</si>
  <si>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</si>
  <si>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</si>
  <si>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</si>
  <si>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</si>
  <si>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</si>
  <si>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</si>
  <si>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</si>
  <si>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</si>
  <si>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</si>
  <si>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</si>
  <si>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</si>
  <si>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</si>
  <si>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</si>
  <si>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</si>
  <si>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</si>
  <si>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</si>
  <si>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</si>
  <si>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</si>
  <si>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</si>
  <si>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</si>
  <si>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</si>
  <si>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</si>
  <si>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</si>
  <si>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</si>
  <si>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</si>
  <si>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</si>
  <si>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</si>
  <si>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</si>
  <si>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</si>
  <si>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</si>
  <si>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</si>
  <si>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</si>
  <si>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</si>
  <si>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</si>
  <si>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</si>
  <si>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</si>
  <si>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</si>
  <si>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</si>
  <si>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</si>
  <si>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</si>
  <si>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</si>
  <si>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</si>
  <si>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</si>
  <si>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</si>
  <si>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</si>
  <si>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</si>
  <si>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</si>
  <si>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</si>
  <si>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</si>
  <si>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</si>
  <si>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</si>
  <si>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</si>
  <si>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</si>
  <si>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</si>
  <si>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</si>
  <si>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</si>
  <si>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</si>
  <si>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</si>
  <si>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</si>
  <si>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</si>
  <si>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</si>
  <si>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</si>
  <si>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</si>
  <si>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</si>
  <si>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</si>
  <si>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</si>
  <si>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</si>
  <si>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</si>
  <si>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</si>
  <si>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</si>
  <si>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</si>
  <si>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</si>
  <si>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</si>
  <si>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</si>
  <si>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</si>
  <si>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</si>
  <si>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</si>
  <si>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</si>
  <si>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</si>
  <si>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</si>
  <si>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</si>
  <si>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</si>
  <si>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</si>
  <si>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</si>
  <si>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</si>
  <si>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</si>
  <si>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</si>
  <si>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</si>
  <si>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</si>
  <si>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</si>
  <si>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</si>
  <si>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</si>
  <si>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</si>
  <si>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</si>
  <si>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</si>
  <si>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</si>
  <si>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</si>
  <si>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</si>
  <si>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</si>
  <si>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</si>
  <si>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</si>
  <si>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</si>
  <si>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</si>
  <si>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</si>
  <si>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</si>
  <si>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</si>
  <si>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</si>
  <si>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</si>
  <si>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</si>
  <si>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</si>
  <si>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</si>
  <si>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</si>
  <si>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</si>
  <si>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</si>
  <si>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</si>
  <si>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</si>
  <si>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</si>
  <si>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</si>
  <si>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</si>
  <si>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</si>
  <si>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</si>
  <si>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</si>
  <si>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</si>
  <si>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</si>
  <si>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</si>
  <si>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</si>
  <si>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</si>
  <si>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</si>
  <si>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</si>
  <si>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</si>
  <si>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</si>
  <si>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</si>
  <si>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</si>
  <si>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</si>
  <si>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</si>
  <si>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</si>
  <si>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</si>
  <si>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</si>
  <si>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</si>
  <si>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</si>
  <si>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</si>
  <si>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</si>
  <si>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</si>
  <si>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</si>
  <si>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</si>
  <si>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</si>
  <si>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</si>
  <si>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</si>
  <si>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</si>
  <si>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</si>
  <si>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</si>
  <si>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</si>
  <si>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</si>
  <si>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</si>
  <si>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</si>
  <si>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</si>
  <si>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</si>
  <si>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</si>
  <si>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</si>
  <si>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</si>
  <si>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</si>
  <si>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</si>
  <si>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</si>
  <si>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</si>
  <si>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</si>
  <si>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</si>
  <si>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</si>
  <si>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</si>
  <si>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</si>
  <si>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</si>
  <si>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</si>
  <si>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</si>
  <si>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</si>
  <si>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</si>
  <si>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</si>
  <si>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</si>
  <si>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</si>
  <si>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</si>
  <si>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</si>
  <si>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</si>
  <si>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</si>
  <si>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</si>
  <si>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</si>
  <si>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</si>
  <si>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</si>
  <si>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</si>
  <si>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</si>
  <si>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</si>
  <si>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</si>
  <si>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</si>
  <si>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</si>
  <si>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</si>
  <si>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</si>
  <si>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</si>
  <si>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</si>
  <si>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</si>
  <si>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</si>
  <si>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</si>
  <si>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</si>
  <si>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</si>
  <si>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</si>
  <si>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</si>
  <si>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</si>
  <si>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</si>
  <si>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</si>
  <si>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</si>
  <si>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</si>
  <si>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</si>
  <si>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</si>
  <si>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</si>
  <si>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</si>
  <si>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</si>
  <si>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</si>
  <si>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</si>
  <si>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</si>
  <si>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</si>
  <si>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</si>
  <si>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</si>
  <si>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</si>
  <si>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</si>
  <si>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</si>
  <si>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</si>
  <si>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</si>
  <si>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</si>
  <si>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</si>
  <si>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</si>
  <si>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</si>
  <si>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</si>
  <si>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</si>
  <si>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</si>
  <si>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</si>
  <si>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</si>
  <si>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</si>
  <si>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</si>
  <si>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</si>
  <si>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</si>
  <si>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</si>
  <si>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</si>
  <si>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</si>
  <si>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</si>
  <si>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</si>
  <si>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</si>
  <si>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</si>
  <si>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</si>
  <si>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</si>
  <si>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</si>
  <si>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</si>
  <si>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</si>
  <si>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</si>
  <si>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</si>
  <si>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</si>
  <si>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</si>
  <si>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</si>
  <si>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</si>
  <si>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</si>
  <si>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</si>
  <si>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</si>
  <si>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</si>
  <si>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</si>
  <si>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</si>
  <si>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</si>
  <si>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</si>
  <si>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</si>
  <si>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</si>
  <si>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</si>
  <si>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</si>
  <si>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</si>
  <si>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</si>
  <si>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</si>
  <si>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</si>
  <si>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</si>
  <si>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</si>
  <si>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</si>
  <si>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</si>
  <si>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</si>
  <si>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</si>
  <si>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</si>
  <si>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</si>
  <si>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</si>
  <si>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</si>
  <si>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</si>
  <si>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</si>
  <si>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</si>
  <si>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</si>
  <si>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</si>
  <si>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</si>
  <si>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</si>
  <si>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</si>
  <si>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</si>
  <si>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</si>
  <si>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</si>
  <si>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</si>
  <si>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</si>
  <si>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</si>
  <si>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</si>
  <si>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</si>
  <si>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</si>
  <si>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</si>
  <si>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</si>
  <si>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</si>
  <si>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</si>
  <si>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</si>
  <si>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</si>
  <si>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</si>
  <si>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</si>
  <si>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</si>
  <si>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</si>
  <si>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</si>
  <si>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</si>
  <si>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</si>
  <si>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</si>
  <si>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</si>
  <si>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</si>
  <si>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</si>
  <si>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</si>
  <si>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</si>
  <si>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</si>
  <si>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</si>
  <si>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</si>
  <si>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</si>
  <si>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</si>
  <si>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</si>
  <si>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</si>
  <si>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</si>
  <si>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</si>
  <si>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</si>
  <si>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</si>
  <si>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</si>
  <si>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</si>
  <si>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</si>
  <si>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</si>
  <si>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</si>
  <si>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</si>
  <si>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</si>
  <si>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</si>
  <si>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</si>
  <si>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</si>
  <si>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</si>
  <si>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</si>
  <si>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</si>
  <si>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</si>
  <si>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</si>
  <si>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</si>
  <si>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</si>
  <si>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</si>
  <si>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</si>
  <si>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</si>
  <si>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</si>
  <si>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</si>
  <si>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</si>
  <si>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</si>
  <si>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</si>
  <si>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</si>
  <si>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</si>
  <si>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</si>
  <si>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</si>
  <si>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</si>
  <si>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</si>
  <si>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</si>
  <si>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</si>
  <si>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</si>
  <si>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</si>
  <si>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</si>
  <si>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</si>
  <si>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</si>
  <si>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</si>
  <si>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</si>
  <si>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</si>
  <si>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</si>
  <si>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</si>
  <si>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</si>
  <si>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</si>
  <si>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</si>
  <si>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</si>
  <si>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</si>
  <si>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</si>
  <si>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</si>
  <si>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</si>
  <si>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</si>
  <si>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</si>
  <si>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</si>
  <si>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</si>
  <si>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</si>
  <si>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</si>
  <si>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</si>
  <si>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</si>
  <si>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</si>
  <si>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</si>
  <si>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</si>
  <si>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</si>
  <si>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</si>
  <si>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</si>
  <si>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</si>
  <si>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</si>
  <si>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</si>
  <si>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</si>
  <si>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</si>
  <si>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</si>
  <si>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</si>
  <si>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</si>
  <si>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</si>
  <si>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</si>
  <si>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</si>
  <si>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</si>
  <si>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</si>
  <si>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</si>
  <si>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</si>
  <si>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</si>
  <si>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</si>
  <si>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</si>
  <si>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</si>
  <si>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</si>
  <si>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</si>
  <si>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</si>
  <si>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</si>
  <si>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</si>
  <si>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</si>
  <si>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</si>
  <si>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</si>
  <si>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</si>
  <si>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</si>
  <si>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</si>
  <si>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</si>
  <si>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</si>
  <si>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</si>
  <si>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</si>
  <si>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</si>
  <si>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</si>
  <si>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</si>
  <si>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</si>
  <si>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</si>
  <si>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</si>
  <si>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</si>
  <si>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</si>
  <si>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</si>
  <si>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</si>
  <si>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</si>
  <si>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</si>
  <si>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</si>
  <si>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</si>
  <si>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</si>
  <si>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</si>
  <si>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</si>
  <si>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</si>
  <si>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</si>
  <si>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</si>
  <si>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</si>
  <si>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</si>
  <si>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</si>
  <si>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</si>
  <si>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</si>
  <si>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</si>
  <si>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</si>
  <si>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</si>
  <si>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</si>
  <si>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</si>
  <si>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</si>
  <si>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</si>
  <si>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</si>
  <si>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</si>
  <si>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</si>
  <si>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</si>
  <si>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</si>
  <si>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</si>
  <si>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</si>
  <si>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</si>
  <si>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</si>
  <si>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</si>
  <si>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</si>
  <si>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</si>
  <si>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</si>
  <si>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</si>
  <si>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</si>
  <si>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</si>
  <si>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</si>
  <si>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</si>
  <si>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</si>
  <si>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</si>
  <si>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</si>
  <si>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</si>
  <si>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</si>
  <si>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</si>
  <si>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</si>
  <si>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</si>
  <si>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</si>
  <si>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</si>
  <si>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</si>
  <si>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</si>
  <si>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</si>
  <si>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</si>
  <si>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</si>
  <si>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</si>
  <si>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</si>
  <si>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</si>
  <si>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</si>
  <si>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</si>
  <si>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</si>
  <si>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</si>
  <si>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</si>
  <si>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</si>
  <si>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</si>
  <si>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</si>
  <si>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</si>
  <si>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</si>
  <si>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</si>
  <si>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</si>
  <si>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</si>
  <si>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</si>
  <si>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</si>
  <si>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</si>
  <si>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</si>
  <si>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</si>
  <si>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</si>
  <si>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</si>
  <si>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</si>
  <si>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</si>
  <si>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</si>
  <si>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</si>
  <si>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</si>
  <si>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</si>
  <si>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</si>
  <si>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</si>
  <si>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</si>
  <si>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</si>
  <si>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</si>
  <si>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</si>
  <si>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</si>
  <si>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</si>
  <si>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</si>
  <si>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</si>
  <si>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</si>
  <si>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</si>
  <si>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</si>
  <si>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</si>
  <si>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</si>
  <si>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</si>
  <si>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</si>
  <si>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</si>
  <si>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</si>
  <si>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</si>
  <si>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</si>
  <si>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</si>
  <si>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</si>
  <si>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</si>
  <si>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</si>
  <si>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</si>
  <si>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</si>
  <si>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</si>
  <si>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</si>
  <si>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</si>
  <si>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</si>
  <si>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</si>
  <si>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</si>
  <si>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</si>
  <si>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</si>
  <si>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</si>
  <si>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</si>
  <si>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</si>
  <si>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</si>
  <si>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</si>
  <si>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</si>
  <si>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</si>
  <si>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</si>
  <si>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</si>
  <si>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</si>
  <si>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</si>
  <si>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</si>
  <si>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</si>
  <si>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</si>
  <si>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</si>
  <si>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</si>
  <si>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</si>
  <si>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</si>
  <si>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</si>
  <si>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</si>
  <si>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</si>
  <si>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</si>
  <si>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</si>
  <si>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</si>
  <si>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</si>
  <si>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</si>
  <si>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</si>
  <si>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</si>
  <si>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</si>
  <si>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</si>
  <si>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</si>
  <si>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</si>
  <si>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</si>
  <si>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</si>
  <si>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</si>
  <si>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</si>
  <si>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</si>
  <si>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</si>
  <si>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</si>
  <si>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</si>
  <si>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</si>
  <si>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</si>
  <si>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</si>
  <si>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</si>
  <si>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</si>
  <si>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</si>
  <si>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</si>
  <si>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</si>
  <si>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</si>
  <si>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</si>
  <si>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</si>
  <si>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</si>
  <si>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</si>
  <si>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</si>
  <si>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</si>
  <si>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</si>
  <si>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</si>
  <si>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</si>
  <si>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</si>
  <si>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</si>
  <si>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</si>
  <si>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</si>
  <si>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</si>
  <si>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</si>
  <si>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</si>
  <si>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</si>
  <si>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</si>
  <si>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</si>
  <si>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</si>
  <si>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</si>
  <si>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</si>
  <si>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</si>
  <si>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</si>
  <si>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</si>
  <si>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</si>
  <si>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</si>
  <si>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</si>
  <si>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</si>
  <si>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</si>
  <si>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</si>
  <si>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</si>
  <si>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</si>
  <si>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</si>
  <si>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</si>
  <si>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</si>
  <si>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</si>
  <si>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</si>
  <si>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</si>
  <si>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</si>
  <si>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</si>
  <si>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</si>
  <si>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</si>
  <si>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</si>
  <si>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</si>
  <si>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</si>
  <si>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</si>
  <si>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</si>
  <si>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</si>
  <si>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</si>
  <si>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</si>
  <si>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</si>
  <si>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</si>
  <si>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</si>
  <si>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</si>
  <si>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</si>
  <si>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</si>
  <si>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</si>
  <si>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</si>
  <si>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</si>
  <si>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</si>
  <si>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</si>
  <si>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</si>
  <si>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</si>
  <si>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</si>
  <si>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</si>
  <si>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</si>
  <si>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</si>
  <si>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</si>
  <si>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</si>
  <si>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</si>
  <si>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</si>
  <si>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</si>
  <si>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</si>
  <si>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</si>
  <si>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</si>
  <si>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</si>
  <si>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</si>
  <si>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</si>
  <si>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</si>
  <si>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</si>
  <si>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</si>
  <si>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</si>
  <si>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</si>
  <si>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</si>
  <si>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</si>
  <si>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</si>
  <si>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</si>
  <si>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</si>
  <si>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</si>
  <si>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</si>
  <si>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</si>
  <si>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</si>
  <si>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</si>
  <si>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</si>
  <si>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</si>
  <si>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</si>
  <si>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</si>
  <si>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</si>
  <si>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</si>
  <si>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</si>
  <si>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</si>
  <si>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</si>
  <si>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</si>
  <si>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</si>
  <si>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</si>
  <si>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</si>
  <si>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</si>
  <si>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</si>
  <si>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</si>
  <si>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</si>
  <si>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</si>
  <si>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</si>
  <si>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</si>
  <si>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</si>
  <si>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</si>
  <si>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</si>
  <si>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</si>
  <si>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</si>
  <si>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</si>
  <si>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</si>
  <si>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</si>
  <si>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</si>
  <si>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</si>
  <si>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</si>
  <si>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</si>
  <si>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</si>
  <si>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</si>
  <si>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</si>
  <si>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</si>
  <si>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</si>
  <si>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</si>
  <si>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</si>
  <si>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</si>
  <si>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</si>
  <si>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</si>
  <si>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</si>
  <si>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</si>
  <si>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</si>
  <si>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</si>
  <si>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</si>
  <si>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</si>
  <si>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</si>
  <si>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</si>
  <si>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</si>
  <si>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</si>
  <si>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</si>
  <si>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</si>
  <si>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</si>
  <si>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</si>
  <si>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</si>
  <si>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</si>
  <si>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</si>
  <si>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</si>
  <si>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</si>
  <si>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</si>
  <si>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</si>
  <si>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</si>
  <si>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</si>
  <si>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</si>
  <si>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</si>
  <si>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</si>
  <si>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</si>
  <si>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</si>
  <si>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</si>
  <si>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</si>
  <si>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</si>
  <si>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</si>
  <si>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</si>
  <si>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</si>
  <si>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</si>
  <si>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</si>
  <si>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</si>
  <si>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</si>
  <si>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</si>
  <si>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</si>
  <si>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</si>
  <si>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</si>
  <si>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</si>
  <si>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</si>
  <si>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</si>
  <si>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</si>
  <si>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</si>
  <si>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</si>
  <si>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</si>
  <si>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</si>
  <si>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</si>
  <si>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</si>
  <si>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</si>
  <si>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</si>
  <si>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</si>
  <si>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</si>
  <si>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</si>
  <si>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</si>
  <si>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</si>
  <si>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</si>
  <si>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</si>
  <si>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</si>
  <si>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</si>
  <si>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</si>
  <si>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</si>
  <si>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</si>
  <si>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</si>
  <si>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</si>
  <si>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</si>
  <si>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</si>
  <si>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</si>
  <si>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</si>
  <si>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</si>
  <si>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</si>
  <si>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</si>
  <si>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</si>
  <si>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</si>
  <si>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</si>
  <si>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</si>
  <si>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</si>
  <si>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</si>
  <si>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</si>
  <si>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</si>
  <si>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</si>
  <si>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</si>
  <si>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</si>
  <si>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</si>
  <si>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</si>
  <si>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</si>
  <si>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</si>
  <si>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</si>
  <si>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</si>
  <si>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</si>
  <si>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</si>
  <si>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</si>
  <si>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</si>
  <si>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</si>
  <si>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</si>
  <si>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</si>
  <si>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</si>
  <si>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</si>
  <si>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</si>
  <si>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</si>
  <si>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</si>
  <si>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</si>
  <si>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</si>
  <si>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</si>
  <si>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</si>
  <si>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</si>
  <si>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</si>
  <si>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</si>
  <si>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</si>
  <si>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</si>
  <si>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</si>
  <si>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</si>
  <si>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</si>
  <si>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</si>
  <si>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</si>
  <si>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</si>
  <si>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</si>
  <si>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</si>
  <si>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</si>
  <si>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</si>
  <si>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</si>
  <si>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</si>
  <si>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</si>
  <si>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</si>
  <si>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</si>
  <si>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</si>
  <si>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</si>
  <si>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</si>
  <si>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</si>
  <si>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</si>
  <si>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</si>
  <si>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</si>
  <si>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</si>
  <si>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</si>
  <si>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</si>
  <si>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</si>
  <si>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</si>
  <si>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</si>
  <si>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</si>
  <si>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</si>
  <si>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</si>
  <si>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</si>
  <si>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</si>
  <si>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</si>
  <si>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</si>
  <si>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</si>
  <si>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</si>
  <si>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</si>
  <si>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</si>
  <si>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</si>
  <si>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</si>
  <si>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</si>
  <si>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</si>
  <si>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</si>
  <si>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</si>
  <si>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</si>
  <si>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</si>
  <si>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</si>
  <si>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</si>
  <si>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</si>
  <si>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</si>
  <si>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</si>
  <si>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</si>
  <si>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</si>
  <si>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</si>
  <si>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</si>
  <si>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</si>
  <si>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</si>
  <si>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</si>
  <si>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</si>
  <si>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</si>
  <si>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</si>
  <si>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</si>
  <si>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</si>
  <si>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</si>
  <si>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</si>
  <si>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</si>
  <si>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</si>
  <si>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</si>
  <si>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</si>
  <si>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</si>
  <si>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</si>
  <si>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</si>
  <si>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</si>
  <si>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</si>
  <si>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</si>
  <si>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</si>
  <si>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</si>
  <si>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</si>
  <si>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</si>
  <si>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</si>
  <si>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</si>
  <si>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</si>
  <si>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</si>
  <si>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</si>
  <si>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</si>
  <si>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</si>
  <si>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</si>
  <si>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</si>
  <si>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</si>
  <si>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</si>
  <si>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</si>
  <si>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</si>
  <si>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</si>
  <si>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</si>
  <si>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</si>
  <si>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</si>
  <si>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</si>
  <si>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</si>
  <si>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</si>
  <si>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</si>
  <si>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</si>
  <si>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</si>
  <si>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</si>
  <si>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</si>
  <si>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</si>
  <si>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</si>
  <si>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</si>
  <si>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</si>
  <si>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</si>
  <si>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</si>
  <si>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</si>
  <si>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</si>
  <si>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</si>
  <si>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</si>
  <si>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</si>
  <si>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</si>
  <si>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</si>
  <si>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</si>
  <si>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</si>
  <si>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</si>
  <si>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</si>
  <si>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</si>
  <si>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</si>
  <si>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</si>
  <si>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</si>
  <si>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</si>
  <si>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</si>
  <si>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</si>
  <si>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</si>
  <si>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</si>
  <si>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</si>
  <si>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</si>
  <si>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</si>
  <si>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</si>
  <si>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</si>
  <si>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</si>
  <si>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</si>
  <si>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</si>
  <si>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</si>
  <si>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</si>
  <si>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</si>
  <si>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</si>
  <si>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</si>
  <si>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</si>
  <si>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</si>
  <si>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</si>
  <si>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</si>
  <si>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</si>
  <si>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</si>
  <si>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</si>
  <si>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</si>
  <si>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</si>
  <si>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</si>
  <si>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</si>
  <si>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</si>
  <si>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</si>
  <si>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</si>
  <si>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</si>
  <si>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</si>
  <si>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</si>
  <si>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</si>
  <si>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</si>
  <si>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</si>
  <si>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</si>
  <si>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</si>
  <si>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</si>
  <si>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</si>
  <si>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</si>
  <si>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</si>
  <si>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</si>
  <si>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</si>
  <si>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</si>
  <si>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</si>
  <si>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</si>
  <si>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</si>
  <si>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</si>
  <si>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</si>
  <si>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</si>
  <si>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</si>
  <si>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</si>
  <si>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</si>
  <si>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</si>
  <si>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</si>
  <si>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</si>
  <si>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</si>
  <si>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</si>
  <si>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</si>
  <si>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</si>
  <si>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</si>
  <si>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</si>
  <si>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</si>
  <si>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</si>
  <si>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</si>
  <si>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</si>
  <si>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</si>
  <si>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</si>
  <si>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</si>
  <si>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</si>
  <si>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</si>
  <si>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</si>
  <si>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</si>
  <si>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</si>
  <si>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</si>
  <si>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郑燚</t>
  </si>
  <si>
    <t>其他：</t>
  </si>
  <si>
    <t>企业</t>
  </si>
  <si>
    <t>出让</t>
  </si>
  <si>
    <t>王鹏</t>
  </si>
  <si>
    <t>是</t>
  </si>
  <si>
    <t>表一</t>
  </si>
  <si>
    <t>东西湖项目建设进度及估值</t>
  </si>
  <si>
    <t>楼栋</t>
  </si>
  <si>
    <t>楼层</t>
  </si>
  <si>
    <t>建筑面积（平方米）</t>
  </si>
  <si>
    <t>一层面积</t>
  </si>
  <si>
    <t>二层以上单层面积</t>
  </si>
  <si>
    <t>已施工楼层</t>
  </si>
  <si>
    <t>已完工面积</t>
  </si>
  <si>
    <t>备注</t>
  </si>
  <si>
    <t>4#</t>
  </si>
  <si>
    <t>29</t>
  </si>
  <si>
    <t>6#</t>
  </si>
  <si>
    <t>22</t>
  </si>
  <si>
    <t>首层全部为公共部位</t>
  </si>
  <si>
    <t>7#</t>
  </si>
  <si>
    <t>34</t>
  </si>
  <si>
    <t>8#</t>
  </si>
  <si>
    <t>9#</t>
  </si>
  <si>
    <t>26</t>
  </si>
  <si>
    <t>该表一数据根据图纸提供</t>
  </si>
  <si>
    <t>表二</t>
  </si>
  <si>
    <t>户型面积</t>
  </si>
  <si>
    <t>117+127</t>
  </si>
  <si>
    <t>117+98</t>
  </si>
  <si>
    <t>表二数据营销对外</t>
  </si>
  <si>
    <t>分楼工程进度</t>
    <phoneticPr fontId="143" type="noConversion"/>
  </si>
  <si>
    <t>分楼占比</t>
    <phoneticPr fontId="143" type="noConversion"/>
  </si>
  <si>
    <t>地上</t>
  </si>
  <si>
    <t>住宅</t>
  </si>
  <si>
    <t>住宅</t>
    <phoneticPr fontId="7" type="noConversion"/>
  </si>
  <si>
    <t>地块名称</t>
  </si>
  <si>
    <t>城市</t>
  </si>
  <si>
    <t>用地性质</t>
  </si>
  <si>
    <t>建设用地面积(㎡)</t>
  </si>
  <si>
    <t>规划建筑面积(㎡)</t>
  </si>
  <si>
    <t>容积率</t>
  </si>
  <si>
    <t>计算容积率</t>
    <phoneticPr fontId="143" type="noConversion"/>
  </si>
  <si>
    <t>出让方式</t>
  </si>
  <si>
    <t>截止日期</t>
  </si>
  <si>
    <t>起始价(万元)</t>
  </si>
  <si>
    <t>成交价(万元)</t>
  </si>
  <si>
    <t>成交楼面价(元/㎡)</t>
    <phoneticPr fontId="143" type="noConversion"/>
  </si>
  <si>
    <t>起始楼面价(元/㎡)</t>
    <phoneticPr fontId="143" type="noConversion"/>
  </si>
  <si>
    <t>溢价率</t>
  </si>
  <si>
    <t>受让单位</t>
  </si>
  <si>
    <t>土地星级</t>
  </si>
  <si>
    <t>东西湖区金银湖街环湖中路以南、环湖四路以西</t>
  </si>
  <si>
    <t>武汉市</t>
  </si>
  <si>
    <t>综合用地(含住宅)</t>
  </si>
  <si>
    <t>≤3.5</t>
  </si>
  <si>
    <t>挂牌</t>
  </si>
  <si>
    <t>2019-01-25</t>
  </si>
  <si>
    <t>湖北富力房地产开发有限公司</t>
  </si>
  <si>
    <t>3星</t>
  </si>
  <si>
    <t>东西湖区径河街三店北路以南、径吴路以西</t>
  </si>
  <si>
    <t>住宅用地</t>
  </si>
  <si>
    <t>≤2.83</t>
  </si>
  <si>
    <t>武汉冠信房地产开发有限公司</t>
  </si>
  <si>
    <t>4星</t>
  </si>
  <si>
    <t>东西湖区径河街临空港大道以西、三店西路以北</t>
  </si>
  <si>
    <t>≤3.7</t>
  </si>
  <si>
    <t>2019-01-15</t>
  </si>
  <si>
    <t>武汉奥山圣宏置业有限公司</t>
  </si>
  <si>
    <t>东西湖区金山大道以北、新城十二路以西</t>
  </si>
  <si>
    <t>≤3.0</t>
  </si>
  <si>
    <t>2018-12-25</t>
  </si>
  <si>
    <t>北京北辰实业股份有限公司</t>
  </si>
  <si>
    <t>东西湖区兴工十路以南、食品一路以东</t>
  </si>
  <si>
    <t>武汉润瑞房地产投资有限公司(海伦堡地产)</t>
  </si>
  <si>
    <t>东西湖区金山大道以北、新城十二路以东</t>
  </si>
  <si>
    <t>2018-11-30</t>
  </si>
  <si>
    <t>中国葛洲坝集团房地产开发有限公司</t>
  </si>
  <si>
    <t>≤2.8</t>
  </si>
  <si>
    <t>中国铁建房地产集团有限公司</t>
  </si>
  <si>
    <t>东西湖区团结大道以北、临空港大道以东</t>
  </si>
  <si>
    <t>≤4.3</t>
  </si>
  <si>
    <t>2018-10-31</t>
  </si>
  <si>
    <t>武汉三江汇物流投资有限公司</t>
  </si>
  <si>
    <t>5星</t>
  </si>
  <si>
    <t>东西湖区花园中路以北、学府北路以东</t>
  </si>
  <si>
    <t>≤3.9</t>
  </si>
  <si>
    <t>2018-10-24</t>
  </si>
  <si>
    <t>武汉中原瑞德健康管理有限公司(武汉当代)</t>
  </si>
  <si>
    <t>东西湖区环湖中路南、北区一路西</t>
  </si>
  <si>
    <t>≤3.4</t>
  </si>
  <si>
    <t>武汉当代华侨城实业发展有限公司(当代+华侨城)</t>
  </si>
  <si>
    <t>东西湖区金银湖街汀香北路西、马池中路北</t>
  </si>
  <si>
    <t>住宅≤3.5;商办≤4.2</t>
  </si>
  <si>
    <t>2018-10-23</t>
  </si>
  <si>
    <t>武汉市东兴房地产开发公司</t>
  </si>
  <si>
    <t>东西湖区宾新路以西、三店西路以北</t>
  </si>
  <si>
    <t>武汉瑞华置业发展有限公司(东原)</t>
  </si>
  <si>
    <t>东西湖区三店北路以北、吴新干线以东</t>
  </si>
  <si>
    <t>≤1.5</t>
  </si>
  <si>
    <t>2018-09-30</t>
  </si>
  <si>
    <t>武汉临空港经济技术开发区城市建设发展投资集团</t>
  </si>
  <si>
    <t>东西湖区三店北路以北、径吴路以西</t>
  </si>
  <si>
    <t>≤2.7</t>
  </si>
  <si>
    <t>2018-09-29</t>
  </si>
  <si>
    <t>武汉强华房地产开发有限公司(北京首开)</t>
  </si>
  <si>
    <t>东西湖区三店北路以北、宾城路以西</t>
  </si>
  <si>
    <t>武汉三镇实业房地产开发有限责任公司</t>
  </si>
  <si>
    <t>东西湖区金银湖街环湖路北、柏银公路西</t>
  </si>
  <si>
    <t>2018-01-30</t>
  </si>
  <si>
    <t>中建三局绿色产业投资有限公司</t>
  </si>
  <si>
    <t>东西湖区径河街七彩北路以东、三店南路以南</t>
  </si>
  <si>
    <t>2017-12-26</t>
  </si>
  <si>
    <t>武汉祥远房地产开发有限公司</t>
  </si>
  <si>
    <t>东西湖区径河街九通路以东、三店南路以南</t>
  </si>
  <si>
    <t>武汉华发置业有限公司</t>
  </si>
  <si>
    <t>东西湖区将军一路西、金银潭大道南</t>
  </si>
  <si>
    <t>武汉福惠虹景房地产开发有限公司</t>
  </si>
  <si>
    <t>东西湖区金银潭大道以北、奥园东路以东</t>
  </si>
  <si>
    <t>2017-12-13</t>
  </si>
  <si>
    <t>武汉北辰辰智房地产开发有限公司</t>
  </si>
  <si>
    <t>东西湖区径河街办事处三店中路东、黄狮海南</t>
  </si>
  <si>
    <t>2017-12-04</t>
  </si>
  <si>
    <t>武汉金悦鑫汉和置业有限公司</t>
  </si>
  <si>
    <t>武汉华侨城实业发展有限公司</t>
  </si>
  <si>
    <t>新径线以北、临空港大道以西、金北一路以北、吴新干线以东</t>
  </si>
  <si>
    <t>住宅2.0、工业1.2-2.5</t>
  </si>
  <si>
    <t>2017-11-30</t>
  </si>
  <si>
    <t>中金数谷科技有限公司、金兆佳置业(武汉)有限公司</t>
  </si>
  <si>
    <t>东西湖区碧水大道与金潭路之间</t>
  </si>
  <si>
    <t>2017-02-28</t>
  </si>
  <si>
    <t>武汉地铁地产联合置业有限公司</t>
  </si>
  <si>
    <t>东西湖区径河街金北一路南、张柏路西</t>
  </si>
  <si>
    <t>北京海赋兴业房地产开发有限公司</t>
  </si>
  <si>
    <t>东西湖区奥园东路以西、马池中路以南</t>
  </si>
  <si>
    <t>广州盈胜投资有限公司</t>
  </si>
  <si>
    <t>东西湖区径河街七彩北路东、三店西路南侧</t>
  </si>
  <si>
    <t>2016-11-24</t>
  </si>
  <si>
    <t>江苏中南建设集团股份有限公司</t>
  </si>
  <si>
    <t>东西湖区径河街办事处三店中路东、金山大道北,黄狮海以南</t>
  </si>
  <si>
    <t>3.0、3.5</t>
  </si>
  <si>
    <t>2016-08-16</t>
  </si>
  <si>
    <t>武汉融创基业投资控股有限公司</t>
  </si>
  <si>
    <t>东西湖区临空港大道以东、武川公路以南</t>
  </si>
  <si>
    <t>2016-07-28</t>
  </si>
  <si>
    <t>安徽瑞泰置业有限公司</t>
  </si>
  <si>
    <t>一般</t>
    <phoneticPr fontId="31" type="noConversion"/>
  </si>
  <si>
    <t>较好</t>
    <phoneticPr fontId="31" type="noConversion"/>
  </si>
  <si>
    <t>较差</t>
    <phoneticPr fontId="31" type="noConversion"/>
  </si>
  <si>
    <t>六通</t>
    <phoneticPr fontId="31" type="noConversion"/>
  </si>
  <si>
    <t>六通</t>
    <phoneticPr fontId="31" type="noConversion"/>
  </si>
  <si>
    <t>六通</t>
    <phoneticPr fontId="31" type="noConversion"/>
  </si>
  <si>
    <t>单面临街</t>
    <phoneticPr fontId="31" type="noConversion"/>
  </si>
  <si>
    <t>单面临街</t>
    <phoneticPr fontId="31" type="noConversion"/>
  </si>
  <si>
    <t>单面临街</t>
    <phoneticPr fontId="31" type="noConversion"/>
  </si>
  <si>
    <t>双面临街</t>
    <phoneticPr fontId="31" type="noConversion"/>
  </si>
  <si>
    <t>支路</t>
    <phoneticPr fontId="31" type="noConversion"/>
  </si>
  <si>
    <t>支路</t>
    <phoneticPr fontId="31" type="noConversion"/>
  </si>
  <si>
    <t>主干道</t>
    <phoneticPr fontId="31" type="noConversion"/>
  </si>
  <si>
    <t>正常</t>
    <phoneticPr fontId="31" type="noConversion"/>
  </si>
  <si>
    <t>正常</t>
    <phoneticPr fontId="31" type="noConversion"/>
  </si>
  <si>
    <t>次干道</t>
    <phoneticPr fontId="31" type="noConversion"/>
  </si>
  <si>
    <t>未包含在土地购买价格中</t>
  </si>
  <si>
    <t>已包含在土地取得成本中</t>
  </si>
  <si>
    <t>正常</t>
    <phoneticPr fontId="25" type="noConversion"/>
  </si>
  <si>
    <t>住宅</t>
    <phoneticPr fontId="25" type="noConversion"/>
  </si>
  <si>
    <t>一般</t>
    <phoneticPr fontId="25" type="noConversion"/>
  </si>
  <si>
    <t>一般</t>
    <phoneticPr fontId="25" type="noConversion"/>
  </si>
  <si>
    <t>六通</t>
    <phoneticPr fontId="25" type="noConversion"/>
  </si>
  <si>
    <t>较好</t>
    <phoneticPr fontId="25" type="noConversion"/>
  </si>
  <si>
    <t>六通</t>
    <phoneticPr fontId="25" type="noConversion"/>
  </si>
  <si>
    <t>高层</t>
    <phoneticPr fontId="25" type="noConversion"/>
  </si>
  <si>
    <t>钢混</t>
    <phoneticPr fontId="25" type="noConversion"/>
  </si>
  <si>
    <t>精装</t>
    <phoneticPr fontId="25" type="noConversion"/>
  </si>
  <si>
    <t>专业</t>
    <phoneticPr fontId="25" type="noConversion"/>
  </si>
  <si>
    <t>成本法</t>
  </si>
  <si>
    <t>假设开发法</t>
  </si>
  <si>
    <t>六通</t>
  </si>
  <si>
    <t>六通</t>
    <phoneticPr fontId="31" type="noConversion"/>
  </si>
  <si>
    <t>五通</t>
    <phoneticPr fontId="31" type="noConversion"/>
  </si>
  <si>
    <t>四通</t>
    <phoneticPr fontId="31" type="noConversion"/>
  </si>
  <si>
    <t>三通</t>
  </si>
  <si>
    <t>三通</t>
    <phoneticPr fontId="31" type="noConversion"/>
  </si>
  <si>
    <t>成本比率</t>
  </si>
  <si>
    <t>在建（套用方法）</t>
  </si>
  <si>
    <t>押一</t>
  </si>
  <si>
    <t>按租金收入计税</t>
  </si>
  <si>
    <t>非生产用房</t>
  </si>
  <si>
    <t>钢混</t>
  </si>
  <si>
    <t>商业</t>
    <phoneticPr fontId="7" type="noConversion"/>
  </si>
  <si>
    <t>住宅</t>
    <phoneticPr fontId="31" type="noConversion"/>
  </si>
  <si>
    <t>规则</t>
  </si>
  <si>
    <t>规则</t>
    <phoneticPr fontId="31" type="noConversion"/>
  </si>
  <si>
    <t>较规则</t>
    <phoneticPr fontId="31" type="noConversion"/>
  </si>
  <si>
    <t>较好</t>
  </si>
  <si>
    <t>较好</t>
    <phoneticPr fontId="31" type="noConversion"/>
  </si>
  <si>
    <t>一般</t>
    <phoneticPr fontId="41" type="noConversion"/>
  </si>
  <si>
    <t>一般</t>
    <phoneticPr fontId="25" type="noConversion"/>
  </si>
  <si>
    <t>一般</t>
    <phoneticPr fontId="41" type="noConversion"/>
  </si>
  <si>
    <t>一般</t>
    <phoneticPr fontId="41" type="noConversion"/>
  </si>
  <si>
    <t>六通</t>
    <phoneticPr fontId="25" type="noConversion"/>
  </si>
  <si>
    <t>支路</t>
    <phoneticPr fontId="25" type="noConversion"/>
  </si>
  <si>
    <t>较好</t>
    <phoneticPr fontId="25" type="noConversion"/>
  </si>
  <si>
    <t>单面临街</t>
  </si>
  <si>
    <t>成本法 (商业)</t>
  </si>
  <si>
    <t>成本法 (商业)</t>
    <phoneticPr fontId="16" type="noConversion"/>
  </si>
  <si>
    <t>假设开发法 (商业)</t>
  </si>
  <si>
    <t>假设开发法 (商业)</t>
    <phoneticPr fontId="16" type="noConversion"/>
  </si>
  <si>
    <r>
      <rPr>
        <sz val="11"/>
        <rFont val="宋体"/>
        <family val="3"/>
        <charset val="134"/>
      </rPr>
      <t>估价对象名称</t>
    </r>
    <phoneticPr fontId="3" type="noConversion"/>
  </si>
  <si>
    <r>
      <rPr>
        <sz val="11"/>
        <rFont val="宋体"/>
        <family val="3"/>
        <charset val="134"/>
      </rPr>
      <t>项目位置</t>
    </r>
    <phoneticPr fontId="3" type="noConversion"/>
  </si>
  <si>
    <r>
      <rPr>
        <b/>
        <sz val="11"/>
        <rFont val="宋体"/>
        <family val="3"/>
        <charset val="134"/>
      </rPr>
      <t>估价对象</t>
    </r>
    <r>
      <rPr>
        <b/>
        <sz val="11"/>
        <rFont val="宋体"/>
        <family val="3"/>
        <charset val="134"/>
      </rPr>
      <t>比较价值（楼面单价，元</t>
    </r>
    <r>
      <rPr>
        <b/>
        <sz val="11"/>
        <rFont val="Arial"/>
        <family val="2"/>
      </rPr>
      <t>/</t>
    </r>
    <r>
      <rPr>
        <b/>
        <sz val="11"/>
        <rFont val="宋体"/>
        <family val="3"/>
        <charset val="134"/>
      </rPr>
      <t>平方米）</t>
    </r>
    <phoneticPr fontId="3" type="noConversion"/>
  </si>
  <si>
    <t>否</t>
  </si>
  <si>
    <t>居住项目</t>
  </si>
  <si>
    <t>通路</t>
  </si>
  <si>
    <t>通电</t>
  </si>
  <si>
    <t>通讯</t>
  </si>
  <si>
    <t>通上水</t>
  </si>
  <si>
    <t>通下水</t>
  </si>
  <si>
    <t>燃气</t>
  </si>
  <si>
    <t>武汉市</t>
    <phoneticPr fontId="6" type="noConversion"/>
  </si>
  <si>
    <t>东西湖区A地块</t>
    <phoneticPr fontId="6" type="noConversion"/>
  </si>
  <si>
    <t>收益法 (元)</t>
  </si>
  <si>
    <t>项目局部</t>
  </si>
  <si>
    <t>规证</t>
    <phoneticPr fontId="143" type="noConversion"/>
  </si>
  <si>
    <r>
      <t>汉口澎湃成A</t>
    </r>
    <r>
      <rPr>
        <sz val="11"/>
        <color theme="1"/>
        <rFont val="宋体"/>
        <family val="3"/>
        <charset val="134"/>
        <scheme val="minor"/>
      </rPr>
      <t>、B座</t>
    </r>
    <phoneticPr fontId="143" type="noConversion"/>
  </si>
  <si>
    <t>地下室</t>
    <phoneticPr fontId="143" type="noConversion"/>
  </si>
  <si>
    <t>总建筑面积</t>
    <phoneticPr fontId="143" type="noConversion"/>
  </si>
  <si>
    <t>计容规划建筑面积</t>
    <phoneticPr fontId="143" type="noConversion"/>
  </si>
  <si>
    <t>1号楼</t>
    <phoneticPr fontId="143" type="noConversion"/>
  </si>
  <si>
    <t>2号楼</t>
    <phoneticPr fontId="143" type="noConversion"/>
  </si>
  <si>
    <t>3号楼</t>
  </si>
  <si>
    <t>4号楼</t>
  </si>
  <si>
    <t>5号楼</t>
  </si>
  <si>
    <t>6号楼</t>
  </si>
  <si>
    <t>7号楼</t>
  </si>
  <si>
    <t>8号楼</t>
  </si>
  <si>
    <t>9号楼</t>
  </si>
  <si>
    <t>10号楼幼儿园</t>
    <phoneticPr fontId="143" type="noConversion"/>
  </si>
  <si>
    <t>开闭所</t>
    <phoneticPr fontId="143" type="noConversion"/>
  </si>
  <si>
    <t>A区地下室</t>
    <phoneticPr fontId="143" type="noConversion"/>
  </si>
  <si>
    <t>B区地下室</t>
    <phoneticPr fontId="143" type="noConversion"/>
  </si>
  <si>
    <t>地下2层</t>
    <phoneticPr fontId="143" type="noConversion"/>
  </si>
  <si>
    <t>——</t>
    <phoneticPr fontId="143" type="noConversion"/>
  </si>
  <si>
    <t>楼层</t>
    <phoneticPr fontId="143" type="noConversion"/>
  </si>
  <si>
    <t>预测绘报告</t>
    <phoneticPr fontId="143" type="noConversion"/>
  </si>
  <si>
    <t>建筑面积</t>
    <phoneticPr fontId="143" type="noConversion"/>
  </si>
  <si>
    <t>住宅</t>
    <phoneticPr fontId="143" type="noConversion"/>
  </si>
  <si>
    <t>商业</t>
    <phoneticPr fontId="143" type="noConversion"/>
  </si>
  <si>
    <t>其他</t>
    <phoneticPr fontId="143" type="noConversion"/>
  </si>
  <si>
    <t>预售证1</t>
    <phoneticPr fontId="143" type="noConversion"/>
  </si>
  <si>
    <t>施工证</t>
    <phoneticPr fontId="143" type="noConversion"/>
  </si>
  <si>
    <t>工程款</t>
    <phoneticPr fontId="143" type="noConversion"/>
  </si>
  <si>
    <t>单价</t>
    <phoneticPr fontId="143" type="noConversion"/>
  </si>
  <si>
    <t>8号楼</t>
    <phoneticPr fontId="143" type="noConversion"/>
  </si>
  <si>
    <t>预售证2</t>
    <phoneticPr fontId="143" type="noConversion"/>
  </si>
  <si>
    <t>6、9号楼</t>
    <phoneticPr fontId="143" type="noConversion"/>
  </si>
  <si>
    <t>完工套数</t>
    <phoneticPr fontId="143" type="noConversion"/>
  </si>
  <si>
    <t>容积率</t>
    <phoneticPr fontId="143" type="noConversion"/>
  </si>
  <si>
    <t>60-70（含）</t>
  </si>
  <si>
    <t>高层</t>
    <phoneticPr fontId="25" type="noConversion"/>
  </si>
  <si>
    <t>钢混</t>
    <phoneticPr fontId="25" type="noConversion"/>
  </si>
  <si>
    <t>高端</t>
  </si>
  <si>
    <t>高端</t>
    <phoneticPr fontId="25" type="noConversion"/>
  </si>
  <si>
    <t>中端</t>
  </si>
  <si>
    <t>中端</t>
    <phoneticPr fontId="25" type="noConversion"/>
  </si>
  <si>
    <t>低端</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</si>
  <si>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</si>
  <si>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</si>
  <si>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</si>
  <si>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</si>
  <si>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</si>
  <si>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</si>
  <si>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无</t>
    <phoneticPr fontId="25" type="noConversion"/>
  </si>
  <si>
    <t>七通</t>
    <phoneticPr fontId="25" type="noConversion"/>
  </si>
  <si>
    <t>六通</t>
    <phoneticPr fontId="25" type="noConversion"/>
  </si>
  <si>
    <r>
      <rPr>
        <sz val="11"/>
        <rFont val="宋体"/>
        <family val="3"/>
        <charset val="134"/>
      </rPr>
      <t>估价对象名称</t>
    </r>
    <phoneticPr fontId="3" type="noConversion"/>
  </si>
  <si>
    <t>大户型</t>
    <phoneticPr fontId="25" type="noConversion"/>
  </si>
  <si>
    <t>小户型</t>
    <phoneticPr fontId="25" type="noConversion"/>
  </si>
  <si>
    <r>
      <t>4</t>
    </r>
    <r>
      <rPr>
        <b/>
        <sz val="10"/>
        <color theme="1"/>
        <rFont val="宋体"/>
        <family val="3"/>
        <charset val="134"/>
      </rPr>
      <t>栋住宅楼小计</t>
    </r>
    <phoneticPr fontId="256" type="noConversion"/>
  </si>
  <si>
    <r>
      <t>6</t>
    </r>
    <r>
      <rPr>
        <b/>
        <sz val="10"/>
        <color theme="1"/>
        <rFont val="宋体"/>
        <family val="3"/>
        <charset val="134"/>
      </rPr>
      <t>栋住宅楼小计</t>
    </r>
    <phoneticPr fontId="256" type="noConversion"/>
  </si>
  <si>
    <r>
      <t>7</t>
    </r>
    <r>
      <rPr>
        <b/>
        <sz val="10"/>
        <rFont val="宋体"/>
        <family val="3"/>
        <charset val="134"/>
      </rPr>
      <t>栋住宅楼小计</t>
    </r>
    <phoneticPr fontId="256" type="noConversion"/>
  </si>
  <si>
    <r>
      <t>8</t>
    </r>
    <r>
      <rPr>
        <b/>
        <sz val="10"/>
        <rFont val="宋体"/>
        <family val="3"/>
        <charset val="134"/>
      </rPr>
      <t>栋住宅楼小计</t>
    </r>
    <phoneticPr fontId="256" type="noConversion"/>
  </si>
  <si>
    <r>
      <t>9</t>
    </r>
    <r>
      <rPr>
        <b/>
        <sz val="10"/>
        <rFont val="宋体"/>
        <family val="3"/>
        <charset val="134"/>
      </rPr>
      <t>栋住宅楼小计</t>
    </r>
    <phoneticPr fontId="256" type="noConversion"/>
  </si>
  <si>
    <r>
      <rPr>
        <b/>
        <sz val="10"/>
        <rFont val="宋体"/>
        <family val="3"/>
        <charset val="134"/>
      </rPr>
      <t>住宅用房合计</t>
    </r>
    <phoneticPr fontId="256" type="noConversion"/>
  </si>
  <si>
    <t>商业用房合计</t>
    <phoneticPr fontId="256" type="noConversion"/>
  </si>
  <si>
    <t>抵押物总计</t>
    <phoneticPr fontId="256" type="noConversion"/>
  </si>
  <si>
    <r>
      <rPr>
        <b/>
        <sz val="10"/>
        <color theme="1"/>
        <rFont val="宋体"/>
        <family val="3"/>
        <charset val="134"/>
      </rPr>
      <t>序号</t>
    </r>
    <phoneticPr fontId="256" type="noConversion"/>
  </si>
  <si>
    <r>
      <rPr>
        <b/>
        <sz val="10"/>
        <color theme="1"/>
        <rFont val="宋体"/>
        <family val="3"/>
        <charset val="134"/>
      </rPr>
      <t>坐落</t>
    </r>
    <phoneticPr fontId="256" type="noConversion"/>
  </si>
  <si>
    <r>
      <rPr>
        <b/>
        <sz val="10"/>
        <color theme="1"/>
        <rFont val="宋体"/>
        <family val="3"/>
        <charset val="134"/>
      </rPr>
      <t>建筑面积</t>
    </r>
    <phoneticPr fontId="256" type="noConversion"/>
  </si>
  <si>
    <t>——</t>
    <phoneticPr fontId="143" type="noConversion"/>
  </si>
  <si>
    <t>序号</t>
  </si>
  <si>
    <t>产品类型</t>
  </si>
  <si>
    <t>楼栋号</t>
  </si>
  <si>
    <t>所属楼宇总面积（㎡）</t>
  </si>
  <si>
    <t>可抵押套数</t>
  </si>
  <si>
    <t>可抵押规划建筑面积（㎡）</t>
  </si>
  <si>
    <t>工程进度</t>
  </si>
  <si>
    <r>
      <t>110</t>
    </r>
    <r>
      <rPr>
        <sz val="9"/>
        <color theme="1"/>
        <rFont val="华文细黑"/>
        <family val="3"/>
        <charset val="134"/>
      </rPr>
      <t>（其中住宅</t>
    </r>
    <r>
      <rPr>
        <sz val="9"/>
        <color theme="1"/>
        <rFont val="Arial"/>
        <family val="2"/>
      </rPr>
      <t>104</t>
    </r>
    <r>
      <rPr>
        <sz val="9"/>
        <color theme="1"/>
        <rFont val="华文细黑"/>
        <family val="3"/>
        <charset val="134"/>
      </rPr>
      <t>、商业</t>
    </r>
    <r>
      <rPr>
        <sz val="9"/>
        <color theme="1"/>
        <rFont val="Arial"/>
        <family val="2"/>
      </rPr>
      <t>6</t>
    </r>
    <r>
      <rPr>
        <sz val="9"/>
        <color theme="1"/>
        <rFont val="华文细黑"/>
        <family val="3"/>
        <charset val="134"/>
      </rPr>
      <t>）</t>
    </r>
  </si>
  <si>
    <t>主体结构施工，已建至20</t>
    <phoneticPr fontId="143" type="noConversion"/>
  </si>
  <si>
    <t>主体结构施工，已建至23</t>
    <phoneticPr fontId="143" type="noConversion"/>
  </si>
  <si>
    <t>主体结构施工，已建至27</t>
    <phoneticPr fontId="143" type="noConversion"/>
  </si>
  <si>
    <t>高层住宅</t>
    <phoneticPr fontId="143" type="noConversion"/>
  </si>
  <si>
    <r>
      <t>472</t>
    </r>
    <r>
      <rPr>
        <b/>
        <sz val="9"/>
        <color theme="1"/>
        <rFont val="华文细黑"/>
        <family val="3"/>
        <charset val="134"/>
      </rPr>
      <t>（其中住宅</t>
    </r>
    <r>
      <rPr>
        <b/>
        <sz val="9"/>
        <color theme="1"/>
        <rFont val="Arial"/>
        <family val="2"/>
      </rPr>
      <t>466</t>
    </r>
    <r>
      <rPr>
        <b/>
        <sz val="9"/>
        <color theme="1"/>
        <rFont val="华文细黑"/>
        <family val="3"/>
        <charset val="134"/>
      </rPr>
      <t>、商业</t>
    </r>
    <r>
      <rPr>
        <b/>
        <sz val="9"/>
        <color theme="1"/>
        <rFont val="Arial"/>
        <family val="2"/>
      </rPr>
      <t>6</t>
    </r>
    <r>
      <rPr>
        <b/>
        <sz val="9"/>
        <color theme="1"/>
        <rFont val="华文细黑"/>
        <family val="3"/>
        <charset val="134"/>
      </rPr>
      <t>）</t>
    </r>
    <phoneticPr fontId="143" type="noConversion"/>
  </si>
  <si>
    <t>——</t>
    <phoneticPr fontId="143" type="noConversion"/>
  </si>
  <si>
    <t>4#</t>
    <phoneticPr fontId="143" type="noConversion"/>
  </si>
  <si>
    <t>合计</t>
    <phoneticPr fontId="143" type="noConversion"/>
  </si>
  <si>
    <r>
      <t>13910.32（</t>
    </r>
    <r>
      <rPr>
        <sz val="11"/>
        <color theme="1"/>
        <rFont val="宋体"/>
        <family val="3"/>
        <charset val="134"/>
        <scheme val="minor"/>
      </rPr>
      <t>其中住宅用房12789.4平方米，商业用房1120.92平方米</t>
    </r>
    <r>
      <rPr>
        <sz val="11"/>
        <color theme="1"/>
        <rFont val="宋体"/>
        <family val="3"/>
        <charset val="134"/>
        <scheme val="minor"/>
      </rPr>
      <t>）</t>
    </r>
    <phoneticPr fontId="143" type="noConversion"/>
  </si>
  <si>
    <t>所属楼宇总楼层</t>
    <phoneticPr fontId="143" type="noConversion"/>
  </si>
  <si>
    <t>——</t>
    <phoneticPr fontId="143" type="noConversion"/>
  </si>
  <si>
    <t>主体结构施工，主体结构已封顶</t>
    <phoneticPr fontId="143" type="noConversion"/>
  </si>
  <si>
    <t>融创观澜府</t>
    <phoneticPr fontId="3" type="noConversion"/>
  </si>
  <si>
    <t>金地悦海湾</t>
    <phoneticPr fontId="3" type="noConversion"/>
  </si>
  <si>
    <t>东原阅境</t>
    <phoneticPr fontId="3" type="noConversion"/>
  </si>
  <si>
    <t>房地产抵押价值</t>
    <phoneticPr fontId="143" type="noConversion"/>
  </si>
  <si>
    <t>楼面单价</t>
    <phoneticPr fontId="143" type="noConversion"/>
  </si>
  <si>
    <t>——</t>
    <phoneticPr fontId="143" type="noConversion"/>
  </si>
  <si>
    <t>湖北省武汉市东西湖区临空港大道以西、三店西路以北汉口澎湃城A、B地块4栋1单元1层1号</t>
  </si>
  <si>
    <t>湖北省武汉市东西湖区临空港大道以西、三店西路以北汉口澎湃城A、B地块4栋1单元1层2号</t>
  </si>
  <si>
    <t>湖北省武汉市东西湖区临空港大道以西、三店西路以北汉口澎湃城A、B地块4栋1单元1层3号</t>
  </si>
  <si>
    <t>湖北省武汉市东西湖区临空港大道以西、三店西路以北汉口澎湃城A、B地块4栋1单元1层4号</t>
  </si>
  <si>
    <t>湖北省武汉市东西湖区临空港大道以西、三店西路以北汉口澎湃城A、B地块4栋1单元2层1号</t>
  </si>
  <si>
    <t>湖北省武汉市东西湖区临空港大道以西、三店西路以北汉口澎湃城A、B地块4栋1单元2层2号</t>
  </si>
  <si>
    <t>湖北省武汉市东西湖区临空港大道以西、三店西路以北汉口澎湃城A、B地块4栋1单元2层3号</t>
  </si>
  <si>
    <t>湖北省武汉市东西湖区临空港大道以西、三店西路以北汉口澎湃城A、B地块4栋1单元2层4号</t>
  </si>
  <si>
    <t>湖北省武汉市东西湖区临空港大道以西、三店西路以北汉口澎湃城A、B地块4栋1单元3层1号</t>
  </si>
  <si>
    <t>湖北省武汉市东西湖区临空港大道以西、三店西路以北汉口澎湃城A、B地块4栋1单元3层2号</t>
  </si>
  <si>
    <t>湖北省武汉市东西湖区临空港大道以西、三店西路以北汉口澎湃城A、B地块4栋1单元3层3号</t>
  </si>
  <si>
    <t>湖北省武汉市东西湖区临空港大道以西、三店西路以北汉口澎湃城A、B地块4栋1单元3层4号</t>
  </si>
  <si>
    <t>湖北省武汉市东西湖区临空港大道以西、三店西路以北汉口澎湃城A、B地块4栋1单元4层1号</t>
  </si>
  <si>
    <t>湖北省武汉市东西湖区临空港大道以西、三店西路以北汉口澎湃城A、B地块4栋1单元4层2号</t>
  </si>
  <si>
    <t>湖北省武汉市东西湖区临空港大道以西、三店西路以北汉口澎湃城A、B地块4栋1单元4层3号</t>
  </si>
  <si>
    <t>湖北省武汉市东西湖区临空港大道以西、三店西路以北汉口澎湃城A、B地块4栋1单元4层4号</t>
  </si>
  <si>
    <t>湖北省武汉市东西湖区临空港大道以西、三店西路以北汉口澎湃城A、B地块4栋1单元5层1号</t>
  </si>
  <si>
    <t>湖北省武汉市东西湖区临空港大道以西、三店西路以北汉口澎湃城A、B地块4栋1单元5层2号</t>
  </si>
  <si>
    <t>湖北省武汉市东西湖区临空港大道以西、三店西路以北汉口澎湃城A、B地块4栋1单元5层3号</t>
  </si>
  <si>
    <t>湖北省武汉市东西湖区临空港大道以西、三店西路以北汉口澎湃城A、B地块4栋1单元5层4号</t>
  </si>
  <si>
    <t>湖北省武汉市东西湖区临空港大道以西、三店西路以北汉口澎湃城A、B地块4栋1单元6层1号</t>
  </si>
  <si>
    <t>湖北省武汉市东西湖区临空港大道以西、三店西路以北汉口澎湃城A、B地块4栋1单元6层2号</t>
  </si>
  <si>
    <t>湖北省武汉市东西湖区临空港大道以西、三店西路以北汉口澎湃城A、B地块4栋1单元6层3号</t>
  </si>
  <si>
    <t>湖北省武汉市东西湖区临空港大道以西、三店西路以北汉口澎湃城A、B地块4栋1单元6层4号</t>
  </si>
  <si>
    <t>湖北省武汉市东西湖区临空港大道以西、三店西路以北汉口澎湃城A、B地块4栋1单元7层1号</t>
  </si>
  <si>
    <t>湖北省武汉市东西湖区临空港大道以西、三店西路以北汉口澎湃城A、B地块4栋1单元7层2号</t>
  </si>
  <si>
    <t>湖北省武汉市东西湖区临空港大道以西、三店西路以北汉口澎湃城A、B地块4栋1单元7层3号</t>
  </si>
  <si>
    <t>湖北省武汉市东西湖区临空港大道以西、三店西路以北汉口澎湃城A、B地块4栋1单元7层4号</t>
  </si>
  <si>
    <t>湖北省武汉市东西湖区临空港大道以西、三店西路以北汉口澎湃城A、B地块4栋1单元8层1号</t>
  </si>
  <si>
    <t>湖北省武汉市东西湖区临空港大道以西、三店西路以北汉口澎湃城A、B地块4栋1单元8层2号</t>
  </si>
  <si>
    <t>湖北省武汉市东西湖区临空港大道以西、三店西路以北汉口澎湃城A、B地块4栋1单元8层3号</t>
  </si>
  <si>
    <t>湖北省武汉市东西湖区临空港大道以西、三店西路以北汉口澎湃城A、B地块4栋1单元8层4号</t>
  </si>
  <si>
    <t>湖北省武汉市东西湖区临空港大道以西、三店西路以北汉口澎湃城A、B地块4栋1单元9层1号</t>
  </si>
  <si>
    <t>湖北省武汉市东西湖区临空港大道以西、三店西路以北汉口澎湃城A、B地块4栋1单元9层2号</t>
  </si>
  <si>
    <t>湖北省武汉市东西湖区临空港大道以西、三店西路以北汉口澎湃城A、B地块4栋1单元9层3号</t>
  </si>
  <si>
    <t>湖北省武汉市东西湖区临空港大道以西、三店西路以北汉口澎湃城A、B地块4栋1单元9层4号</t>
  </si>
  <si>
    <t>湖北省武汉市东西湖区临空港大道以西、三店西路以北汉口澎湃城A、B地块4栋1单元10层1号</t>
  </si>
  <si>
    <t>湖北省武汉市东西湖区临空港大道以西、三店西路以北汉口澎湃城A、B地块4栋1单元10层2号</t>
  </si>
  <si>
    <t>湖北省武汉市东西湖区临空港大道以西、三店西路以北汉口澎湃城A、B地块4栋1单元10层3号</t>
  </si>
  <si>
    <t>湖北省武汉市东西湖区临空港大道以西、三店西路以北汉口澎湃城A、B地块4栋1单元10层4号</t>
  </si>
  <si>
    <t>湖北省武汉市东西湖区临空港大道以西、三店西路以北汉口澎湃城A、B地块4栋1单元11层1号</t>
  </si>
  <si>
    <t>湖北省武汉市东西湖区临空港大道以西、三店西路以北汉口澎湃城A、B地块4栋1单元11层2号</t>
  </si>
  <si>
    <t>湖北省武汉市东西湖区临空港大道以西、三店西路以北汉口澎湃城A、B地块4栋1单元11层3号</t>
  </si>
  <si>
    <t>湖北省武汉市东西湖区临空港大道以西、三店西路以北汉口澎湃城A、B地块4栋1单元11层4号</t>
  </si>
  <si>
    <t>湖北省武汉市东西湖区临空港大道以西、三店西路以北汉口澎湃城A、B地块4栋1单元12层1号</t>
  </si>
  <si>
    <t>湖北省武汉市东西湖区临空港大道以西、三店西路以北汉口澎湃城A、B地块4栋1单元12层2号</t>
  </si>
  <si>
    <t>湖北省武汉市东西湖区临空港大道以西、三店西路以北汉口澎湃城A、B地块4栋1单元12层3号</t>
  </si>
  <si>
    <t>湖北省武汉市东西湖区临空港大道以西、三店西路以北汉口澎湃城A、B地块4栋1单元12层4号</t>
  </si>
  <si>
    <t>湖北省武汉市东西湖区临空港大道以西、三店西路以北汉口澎湃城A、B地块4栋1单元13层1号</t>
  </si>
  <si>
    <t>湖北省武汉市东西湖区临空港大道以西、三店西路以北汉口澎湃城A、B地块4栋1单元13层2号</t>
  </si>
  <si>
    <t>湖北省武汉市东西湖区临空港大道以西、三店西路以北汉口澎湃城A、B地块4栋1单元13层3号</t>
  </si>
  <si>
    <t>湖北省武汉市东西湖区临空港大道以西、三店西路以北汉口澎湃城A、B地块4栋1单元13层4号</t>
  </si>
  <si>
    <t>湖北省武汉市东西湖区临空港大道以西、三店西路以北汉口澎湃城A、B地块4栋1单元14层1号</t>
  </si>
  <si>
    <t>湖北省武汉市东西湖区临空港大道以西、三店西路以北汉口澎湃城A、B地块4栋1单元14层2号</t>
  </si>
  <si>
    <t>湖北省武汉市东西湖区临空港大道以西、三店西路以北汉口澎湃城A、B地块4栋1单元14层3号</t>
  </si>
  <si>
    <t>湖北省武汉市东西湖区临空港大道以西、三店西路以北汉口澎湃城A、B地块4栋1单元14层4号</t>
  </si>
  <si>
    <t>湖北省武汉市东西湖区临空港大道以西、三店西路以北汉口澎湃城A、B地块4栋1单元15层1号</t>
  </si>
  <si>
    <t>湖北省武汉市东西湖区临空港大道以西、三店西路以北汉口澎湃城A、B地块4栋1单元15层2号</t>
  </si>
  <si>
    <t>湖北省武汉市东西湖区临空港大道以西、三店西路以北汉口澎湃城A、B地块4栋1单元15层3号</t>
  </si>
  <si>
    <t>湖北省武汉市东西湖区临空港大道以西、三店西路以北汉口澎湃城A、B地块4栋1单元15层4号</t>
  </si>
  <si>
    <t>湖北省武汉市东西湖区临空港大道以西、三店西路以北汉口澎湃城A、B地块4栋1单元16层1号</t>
  </si>
  <si>
    <t>湖北省武汉市东西湖区临空港大道以西、三店西路以北汉口澎湃城A、B地块4栋1单元16层2号</t>
  </si>
  <si>
    <t>湖北省武汉市东西湖区临空港大道以西、三店西路以北汉口澎湃城A、B地块4栋1单元16层3号</t>
  </si>
  <si>
    <t>湖北省武汉市东西湖区临空港大道以西、三店西路以北汉口澎湃城A、B地块4栋1单元16层4号</t>
  </si>
  <si>
    <t>湖北省武汉市东西湖区临空港大道以西、三店西路以北汉口澎湃城A、B地块4栋1单元17层1号</t>
  </si>
  <si>
    <t>湖北省武汉市东西湖区临空港大道以西、三店西路以北汉口澎湃城A、B地块4栋1单元17层2号</t>
  </si>
  <si>
    <t>湖北省武汉市东西湖区临空港大道以西、三店西路以北汉口澎湃城A、B地块4栋1单元17层3号</t>
  </si>
  <si>
    <t>湖北省武汉市东西湖区临空港大道以西、三店西路以北汉口澎湃城A、B地块4栋1单元17层4号</t>
  </si>
  <si>
    <t>湖北省武汉市东西湖区临空港大道以西、三店西路以北汉口澎湃城A、B地块4栋1单元18层1号</t>
  </si>
  <si>
    <t>湖北省武汉市东西湖区临空港大道以西、三店西路以北汉口澎湃城A、B地块4栋1单元18层2号</t>
  </si>
  <si>
    <t>湖北省武汉市东西湖区临空港大道以西、三店西路以北汉口澎湃城A、B地块4栋1单元18层3号</t>
  </si>
  <si>
    <t>湖北省武汉市东西湖区临空港大道以西、三店西路以北汉口澎湃城A、B地块4栋1单元18层4号</t>
  </si>
  <si>
    <t>湖北省武汉市东西湖区临空港大道以西、三店西路以北汉口澎湃城A、B地块4栋1单元19层1号</t>
  </si>
  <si>
    <t>湖北省武汉市东西湖区临空港大道以西、三店西路以北汉口澎湃城A、B地块4栋1单元19层2号</t>
  </si>
  <si>
    <t>湖北省武汉市东西湖区临空港大道以西、三店西路以北汉口澎湃城A、B地块4栋1单元19层3号</t>
  </si>
  <si>
    <t>湖北省武汉市东西湖区临空港大道以西、三店西路以北汉口澎湃城A、B地块4栋1单元19层4号</t>
  </si>
  <si>
    <t>湖北省武汉市东西湖区临空港大道以西、三店西路以北汉口澎湃城A、B地块4栋1单元20层1号</t>
  </si>
  <si>
    <t>湖北省武汉市东西湖区临空港大道以西、三店西路以北汉口澎湃城A、B地块4栋1单元20层2号</t>
  </si>
  <si>
    <t>湖北省武汉市东西湖区临空港大道以西、三店西路以北汉口澎湃城A、B地块4栋1单元20层3号</t>
  </si>
  <si>
    <t>湖北省武汉市东西湖区临空港大道以西、三店西路以北汉口澎湃城A、B地块4栋1单元20层4号</t>
  </si>
  <si>
    <t>湖北省武汉市东西湖区临空港大道以西、三店西路以北汉口澎湃城A、B地块6栋1单元2层1号</t>
  </si>
  <si>
    <t>湖北省武汉市东西湖区临空港大道以西、三店西路以北汉口澎湃城A、B地块6栋1单元2层2号</t>
  </si>
  <si>
    <t>湖北省武汉市东西湖区临空港大道以西、三店西路以北汉口澎湃城A、B地块6栋1单元2层3号</t>
  </si>
  <si>
    <t>湖北省武汉市东西湖区临空港大道以西、三店西路以北汉口澎湃城A、B地块6栋1单元2层4号</t>
  </si>
  <si>
    <t>湖北省武汉市东西湖区临空港大道以西、三店西路以北汉口澎湃城A、B地块6栋1单元3层1号</t>
  </si>
  <si>
    <t>湖北省武汉市东西湖区临空港大道以西、三店西路以北汉口澎湃城A、B地块6栋1单元3层2号</t>
  </si>
  <si>
    <t>湖北省武汉市东西湖区临空港大道以西、三店西路以北汉口澎湃城A、B地块6栋1单元3层3号</t>
  </si>
  <si>
    <t>湖北省武汉市东西湖区临空港大道以西、三店西路以北汉口澎湃城A、B地块6栋1单元3层4号</t>
  </si>
  <si>
    <t>湖北省武汉市东西湖区临空港大道以西、三店西路以北汉口澎湃城A、B地块6栋1单元4层1号</t>
  </si>
  <si>
    <t>湖北省武汉市东西湖区临空港大道以西、三店西路以北汉口澎湃城A、B地块6栋1单元4层2号</t>
  </si>
  <si>
    <t>湖北省武汉市东西湖区临空港大道以西、三店西路以北汉口澎湃城A、B地块6栋1单元4层3号</t>
  </si>
  <si>
    <t>湖北省武汉市东西湖区临空港大道以西、三店西路以北汉口澎湃城A、B地块6栋1单元4层4号</t>
  </si>
  <si>
    <t>湖北省武汉市东西湖区临空港大道以西、三店西路以北汉口澎湃城A、B地块6栋1单元5层1号</t>
  </si>
  <si>
    <t>湖北省武汉市东西湖区临空港大道以西、三店西路以北汉口澎湃城A、B地块6栋1单元5层2号</t>
  </si>
  <si>
    <t>湖北省武汉市东西湖区临空港大道以西、三店西路以北汉口澎湃城A、B地块6栋1单元5层3号</t>
  </si>
  <si>
    <t>湖北省武汉市东西湖区临空港大道以西、三店西路以北汉口澎湃城A、B地块6栋1单元5层4号</t>
  </si>
  <si>
    <t>湖北省武汉市东西湖区临空港大道以西、三店西路以北汉口澎湃城A、B地块6栋1单元6层1号</t>
  </si>
  <si>
    <t>湖北省武汉市东西湖区临空港大道以西、三店西路以北汉口澎湃城A、B地块6栋1单元6层2号</t>
  </si>
  <si>
    <t>湖北省武汉市东西湖区临空港大道以西、三店西路以北汉口澎湃城A、B地块6栋1单元6层3号</t>
  </si>
  <si>
    <t>湖北省武汉市东西湖区临空港大道以西、三店西路以北汉口澎湃城A、B地块6栋1单元6层4号</t>
  </si>
  <si>
    <t>湖北省武汉市东西湖区临空港大道以西、三店西路以北汉口澎湃城A、B地块6栋1单元7层1号</t>
  </si>
  <si>
    <t>湖北省武汉市东西湖区临空港大道以西、三店西路以北汉口澎湃城A、B地块6栋1单元7层2号</t>
  </si>
  <si>
    <t>湖北省武汉市东西湖区临空港大道以西、三店西路以北汉口澎湃城A、B地块6栋1单元7层3号</t>
  </si>
  <si>
    <t>湖北省武汉市东西湖区临空港大道以西、三店西路以北汉口澎湃城A、B地块6栋1单元7层4号</t>
  </si>
  <si>
    <t>湖北省武汉市东西湖区临空港大道以西、三店西路以北汉口澎湃城A、B地块6栋1单元8层1号</t>
  </si>
  <si>
    <t>湖北省武汉市东西湖区临空港大道以西、三店西路以北汉口澎湃城A、B地块6栋1单元8层2号</t>
  </si>
  <si>
    <t>湖北省武汉市东西湖区临空港大道以西、三店西路以北汉口澎湃城A、B地块6栋1单元8层3号</t>
  </si>
  <si>
    <t>湖北省武汉市东西湖区临空港大道以西、三店西路以北汉口澎湃城A、B地块6栋1单元8层4号</t>
  </si>
  <si>
    <t>湖北省武汉市东西湖区临空港大道以西、三店西路以北汉口澎湃城A、B地块6栋1单元9层1号</t>
  </si>
  <si>
    <t>湖北省武汉市东西湖区临空港大道以西、三店西路以北汉口澎湃城A、B地块6栋1单元9层2号</t>
  </si>
  <si>
    <t>湖北省武汉市东西湖区临空港大道以西、三店西路以北汉口澎湃城A、B地块6栋1单元9层3号</t>
  </si>
  <si>
    <t>湖北省武汉市东西湖区临空港大道以西、三店西路以北汉口澎湃城A、B地块6栋1单元9层4号</t>
  </si>
  <si>
    <t>湖北省武汉市东西湖区临空港大道以西、三店西路以北汉口澎湃城A、B地块6栋1单元10层1号</t>
  </si>
  <si>
    <t>湖北省武汉市东西湖区临空港大道以西、三店西路以北汉口澎湃城A、B地块6栋1单元10层2号</t>
  </si>
  <si>
    <t>湖北省武汉市东西湖区临空港大道以西、三店西路以北汉口澎湃城A、B地块6栋1单元10层3号</t>
  </si>
  <si>
    <t>湖北省武汉市东西湖区临空港大道以西、三店西路以北汉口澎湃城A、B地块6栋1单元10层4号</t>
  </si>
  <si>
    <t>湖北省武汉市东西湖区临空港大道以西、三店西路以北汉口澎湃城A、B地块6栋1单元11层1号</t>
  </si>
  <si>
    <t>湖北省武汉市东西湖区临空港大道以西、三店西路以北汉口澎湃城A、B地块6栋1单元11层2号</t>
  </si>
  <si>
    <t>湖北省武汉市东西湖区临空港大道以西、三店西路以北汉口澎湃城A、B地块6栋1单元11层3号</t>
  </si>
  <si>
    <t>湖北省武汉市东西湖区临空港大道以西、三店西路以北汉口澎湃城A、B地块6栋1单元11层4号</t>
  </si>
  <si>
    <t>湖北省武汉市东西湖区临空港大道以西、三店西路以北汉口澎湃城A、B地块6栋1单元12层1号</t>
  </si>
  <si>
    <t>湖北省武汉市东西湖区临空港大道以西、三店西路以北汉口澎湃城A、B地块6栋1单元12层2号</t>
  </si>
  <si>
    <t>湖北省武汉市东西湖区临空港大道以西、三店西路以北汉口澎湃城A、B地块6栋1单元12层3号</t>
  </si>
  <si>
    <t>湖北省武汉市东西湖区临空港大道以西、三店西路以北汉口澎湃城A、B地块6栋1单元12层4号</t>
  </si>
  <si>
    <t>湖北省武汉市东西湖区临空港大道以西、三店西路以北汉口澎湃城A、B地块6栋1单元13层1号</t>
  </si>
  <si>
    <t>湖北省武汉市东西湖区临空港大道以西、三店西路以北汉口澎湃城A、B地块6栋1单元13层2号</t>
  </si>
  <si>
    <t>湖北省武汉市东西湖区临空港大道以西、三店西路以北汉口澎湃城A、B地块6栋1单元13层3号</t>
  </si>
  <si>
    <t>湖北省武汉市东西湖区临空港大道以西、三店西路以北汉口澎湃城A、B地块6栋1单元13层4号</t>
  </si>
  <si>
    <t>湖北省武汉市东西湖区临空港大道以西、三店西路以北汉口澎湃城A、B地块6栋1单元14层1号</t>
  </si>
  <si>
    <t>湖北省武汉市东西湖区临空港大道以西、三店西路以北汉口澎湃城A、B地块6栋1单元14层2号</t>
  </si>
  <si>
    <t>湖北省武汉市东西湖区临空港大道以西、三店西路以北汉口澎湃城A、B地块6栋1单元14层3号</t>
  </si>
  <si>
    <t>湖北省武汉市东西湖区临空港大道以西、三店西路以北汉口澎湃城A、B地块6栋1单元14层4号</t>
  </si>
  <si>
    <t>湖北省武汉市东西湖区临空港大道以西、三店西路以北汉口澎湃城A、B地块6栋1单元15层1号</t>
  </si>
  <si>
    <t>湖北省武汉市东西湖区临空港大道以西、三店西路以北汉口澎湃城A、B地块6栋1单元15层2号</t>
  </si>
  <si>
    <t>湖北省武汉市东西湖区临空港大道以西、三店西路以北汉口澎湃城A、B地块6栋1单元15层3号</t>
  </si>
  <si>
    <t>湖北省武汉市东西湖区临空港大道以西、三店西路以北汉口澎湃城A、B地块6栋1单元15层4号</t>
  </si>
  <si>
    <t>湖北省武汉市东西湖区临空港大道以西、三店西路以北汉口澎湃城A、B地块6栋1单元16层1号</t>
  </si>
  <si>
    <t>湖北省武汉市东西湖区临空港大道以西、三店西路以北汉口澎湃城A、B地块6栋1单元16层2号</t>
  </si>
  <si>
    <t>湖北省武汉市东西湖区临空港大道以西、三店西路以北汉口澎湃城A、B地块6栋1单元16层3号</t>
  </si>
  <si>
    <t>湖北省武汉市东西湖区临空港大道以西、三店西路以北汉口澎湃城A、B地块6栋1单元16层4号</t>
  </si>
  <si>
    <t>湖北省武汉市东西湖区临空港大道以西、三店西路以北汉口澎湃城A、B地块6栋1单元17层1号</t>
  </si>
  <si>
    <t>湖北省武汉市东西湖区临空港大道以西、三店西路以北汉口澎湃城A、B地块6栋1单元17层2号</t>
  </si>
  <si>
    <t>湖北省武汉市东西湖区临空港大道以西、三店西路以北汉口澎湃城A、B地块6栋1单元17层3号</t>
  </si>
  <si>
    <t>湖北省武汉市东西湖区临空港大道以西、三店西路以北汉口澎湃城A、B地块6栋1单元17层4号</t>
  </si>
  <si>
    <t>湖北省武汉市东西湖区临空港大道以西、三店西路以北汉口澎湃城A、B地块6栋1单元18层1号</t>
  </si>
  <si>
    <t>湖北省武汉市东西湖区临空港大道以西、三店西路以北汉口澎湃城A、B地块6栋1单元18层2号</t>
  </si>
  <si>
    <t>湖北省武汉市东西湖区临空港大道以西、三店西路以北汉口澎湃城A、B地块6栋1单元18层3号</t>
  </si>
  <si>
    <t>湖北省武汉市东西湖区临空港大道以西、三店西路以北汉口澎湃城A、B地块6栋1单元18层4号</t>
  </si>
  <si>
    <t>湖北省武汉市东西湖区临空港大道以西、三店西路以北汉口澎湃城A、B地块6栋1单元19层1号</t>
  </si>
  <si>
    <t>湖北省武汉市东西湖区临空港大道以西、三店西路以北汉口澎湃城A、B地块6栋1单元19层2号</t>
  </si>
  <si>
    <t>湖北省武汉市东西湖区临空港大道以西、三店西路以北汉口澎湃城A、B地块6栋1单元19层3号</t>
  </si>
  <si>
    <t>湖北省武汉市东西湖区临空港大道以西、三店西路以北汉口澎湃城A、B地块6栋1单元19层4号</t>
  </si>
  <si>
    <t>湖北省武汉市东西湖区临空港大道以西、三店西路以北汉口澎湃城A、B地块6栋1单元20层1号</t>
  </si>
  <si>
    <t>湖北省武汉市东西湖区临空港大道以西、三店西路以北汉口澎湃城A、B地块6栋1单元20层2号</t>
  </si>
  <si>
    <t>湖北省武汉市东西湖区临空港大道以西、三店西路以北汉口澎湃城A、B地块6栋1单元20层3号</t>
  </si>
  <si>
    <t>湖北省武汉市东西湖区临空港大道以西、三店西路以北汉口澎湃城A、B地块6栋1单元20层4号</t>
  </si>
  <si>
    <t>湖北省武汉市东西湖区临空港大道以西、三店西路以北汉口澎湃城A、B地块6栋1单元21层1号</t>
  </si>
  <si>
    <t>湖北省武汉市东西湖区临空港大道以西、三店西路以北汉口澎湃城A、B地块6栋1单元21层2号</t>
  </si>
  <si>
    <t>湖北省武汉市东西湖区临空港大道以西、三店西路以北汉口澎湃城A、B地块6栋1单元21层3号</t>
  </si>
  <si>
    <t>湖北省武汉市东西湖区临空港大道以西、三店西路以北汉口澎湃城A、B地块6栋1单元21层4号</t>
  </si>
  <si>
    <t>湖北省武汉市东西湖区临空港大道以西、三店西路以北汉口澎湃城A、B地块6栋1单元22层1号</t>
  </si>
  <si>
    <t>湖北省武汉市东西湖区临空港大道以西、三店西路以北汉口澎湃城A、B地块6栋1单元22层2号</t>
  </si>
  <si>
    <t>湖北省武汉市东西湖区临空港大道以西、三店西路以北汉口澎湃城A、B地块6栋1单元22层3号</t>
  </si>
  <si>
    <t>湖北省武汉市东西湖区临空港大道以西、三店西路以北汉口澎湃城A、B地块6栋1单元22层4号</t>
  </si>
  <si>
    <t>湖北省武汉市东西湖区临空港大道以西、三店西路以北汉口澎湃城A、B地块7栋1单元1层1号</t>
  </si>
  <si>
    <t>湖北省武汉市东西湖区临空港大道以西、三店西路以北汉口澎湃城A、B地块7栋1单元1层2号</t>
  </si>
  <si>
    <t>湖北省武汉市东西湖区临空港大道以西、三店西路以北汉口澎湃城A、B地块7栋1单元1层3号</t>
  </si>
  <si>
    <t>湖北省武汉市东西湖区临空港大道以西、三店西路以北汉口澎湃城A、B地块7栋1单元1层4号</t>
  </si>
  <si>
    <t>湖北省武汉市东西湖区临空港大道以西、三店西路以北汉口澎湃城A、B地块7栋1单元2层1号</t>
  </si>
  <si>
    <t>湖北省武汉市东西湖区临空港大道以西、三店西路以北汉口澎湃城A、B地块7栋1单元2层2号</t>
  </si>
  <si>
    <t>湖北省武汉市东西湖区临空港大道以西、三店西路以北汉口澎湃城A、B地块7栋1单元2层3号</t>
  </si>
  <si>
    <t>湖北省武汉市东西湖区临空港大道以西、三店西路以北汉口澎湃城A、B地块7栋1单元2层4号</t>
  </si>
  <si>
    <t>湖北省武汉市东西湖区临空港大道以西、三店西路以北汉口澎湃城A、B地块7栋1单元3层1号</t>
  </si>
  <si>
    <t>湖北省武汉市东西湖区临空港大道以西、三店西路以北汉口澎湃城A、B地块7栋1单元3层2号</t>
  </si>
  <si>
    <t>湖北省武汉市东西湖区临空港大道以西、三店西路以北汉口澎湃城A、B地块7栋1单元3层3号</t>
  </si>
  <si>
    <t>湖北省武汉市东西湖区临空港大道以西、三店西路以北汉口澎湃城A、B地块7栋1单元3层4号</t>
  </si>
  <si>
    <t>湖北省武汉市东西湖区临空港大道以西、三店西路以北汉口澎湃城A、B地块7栋1单元4层1号</t>
  </si>
  <si>
    <t>湖北省武汉市东西湖区临空港大道以西、三店西路以北汉口澎湃城A、B地块7栋1单元4层2号</t>
  </si>
  <si>
    <t>湖北省武汉市东西湖区临空港大道以西、三店西路以北汉口澎湃城A、B地块7栋1单元4层3号</t>
  </si>
  <si>
    <t>湖北省武汉市东西湖区临空港大道以西、三店西路以北汉口澎湃城A、B地块7栋1单元4层4号</t>
  </si>
  <si>
    <t>湖北省武汉市东西湖区临空港大道以西、三店西路以北汉口澎湃城A、B地块7栋1单元5层1号</t>
  </si>
  <si>
    <t>湖北省武汉市东西湖区临空港大道以西、三店西路以北汉口澎湃城A、B地块7栋1单元5层2号</t>
  </si>
  <si>
    <t>湖北省武汉市东西湖区临空港大道以西、三店西路以北汉口澎湃城A、B地块7栋1单元5层3号</t>
  </si>
  <si>
    <t>湖北省武汉市东西湖区临空港大道以西、三店西路以北汉口澎湃城A、B地块7栋1单元5层4号</t>
  </si>
  <si>
    <t>湖北省武汉市东西湖区临空港大道以西、三店西路以北汉口澎湃城A、B地块7栋1单元6层1号</t>
  </si>
  <si>
    <t>湖北省武汉市东西湖区临空港大道以西、三店西路以北汉口澎湃城A、B地块7栋1单元6层2号</t>
  </si>
  <si>
    <t>湖北省武汉市东西湖区临空港大道以西、三店西路以北汉口澎湃城A、B地块7栋1单元6层3号</t>
  </si>
  <si>
    <t>湖北省武汉市东西湖区临空港大道以西、三店西路以北汉口澎湃城A、B地块7栋1单元6层4号</t>
  </si>
  <si>
    <t>湖北省武汉市东西湖区临空港大道以西、三店西路以北汉口澎湃城A、B地块7栋1单元7层1号</t>
  </si>
  <si>
    <t>湖北省武汉市东西湖区临空港大道以西、三店西路以北汉口澎湃城A、B地块7栋1单元7层2号</t>
  </si>
  <si>
    <t>湖北省武汉市东西湖区临空港大道以西、三店西路以北汉口澎湃城A、B地块7栋1单元7层3号</t>
  </si>
  <si>
    <t>湖北省武汉市东西湖区临空港大道以西、三店西路以北汉口澎湃城A、B地块7栋1单元7层4号</t>
  </si>
  <si>
    <t>湖北省武汉市东西湖区临空港大道以西、三店西路以北汉口澎湃城A、B地块7栋1单元8层1号</t>
  </si>
  <si>
    <t>湖北省武汉市东西湖区临空港大道以西、三店西路以北汉口澎湃城A、B地块7栋1单元8层2号</t>
  </si>
  <si>
    <t>湖北省武汉市东西湖区临空港大道以西、三店西路以北汉口澎湃城A、B地块7栋1单元8层3号</t>
  </si>
  <si>
    <t>湖北省武汉市东西湖区临空港大道以西、三店西路以北汉口澎湃城A、B地块7栋1单元8层4号</t>
  </si>
  <si>
    <t>湖北省武汉市东西湖区临空港大道以西、三店西路以北汉口澎湃城A、B地块7栋1单元9层1号</t>
  </si>
  <si>
    <t>湖北省武汉市东西湖区临空港大道以西、三店西路以北汉口澎湃城A、B地块7栋1单元9层2号</t>
  </si>
  <si>
    <t>湖北省武汉市东西湖区临空港大道以西、三店西路以北汉口澎湃城A、B地块7栋1单元9层3号</t>
  </si>
  <si>
    <t>湖北省武汉市东西湖区临空港大道以西、三店西路以北汉口澎湃城A、B地块7栋1单元9层4号</t>
  </si>
  <si>
    <t>湖北省武汉市东西湖区临空港大道以西、三店西路以北汉口澎湃城A、B地块7栋1单元10层1号</t>
  </si>
  <si>
    <t>湖北省武汉市东西湖区临空港大道以西、三店西路以北汉口澎湃城A、B地块7栋1单元10层2号</t>
  </si>
  <si>
    <t>湖北省武汉市东西湖区临空港大道以西、三店西路以北汉口澎湃城A、B地块7栋1单元10层3号</t>
  </si>
  <si>
    <t>湖北省武汉市东西湖区临空港大道以西、三店西路以北汉口澎湃城A、B地块7栋1单元10层4号</t>
  </si>
  <si>
    <t>湖北省武汉市东西湖区临空港大道以西、三店西路以北汉口澎湃城A、B地块7栋1单元11层1号</t>
  </si>
  <si>
    <t>湖北省武汉市东西湖区临空港大道以西、三店西路以北汉口澎湃城A、B地块7栋1单元11层2号</t>
  </si>
  <si>
    <t>湖北省武汉市东西湖区临空港大道以西、三店西路以北汉口澎湃城A、B地块7栋1单元11层3号</t>
  </si>
  <si>
    <t>湖北省武汉市东西湖区临空港大道以西、三店西路以北汉口澎湃城A、B地块7栋1单元11层4号</t>
  </si>
  <si>
    <t>湖北省武汉市东西湖区临空港大道以西、三店西路以北汉口澎湃城A、B地块7栋1单元12层1号</t>
  </si>
  <si>
    <t>湖北省武汉市东西湖区临空港大道以西、三店西路以北汉口澎湃城A、B地块7栋1单元12层2号</t>
  </si>
  <si>
    <t>湖北省武汉市东西湖区临空港大道以西、三店西路以北汉口澎湃城A、B地块7栋1单元12层3号</t>
  </si>
  <si>
    <t>湖北省武汉市东西湖区临空港大道以西、三店西路以北汉口澎湃城A、B地块7栋1单元12层4号</t>
  </si>
  <si>
    <t>湖北省武汉市东西湖区临空港大道以西、三店西路以北汉口澎湃城A、B地块7栋1单元13层1号</t>
  </si>
  <si>
    <t>湖北省武汉市东西湖区临空港大道以西、三店西路以北汉口澎湃城A、B地块7栋1单元13层2号</t>
  </si>
  <si>
    <t>湖北省武汉市东西湖区临空港大道以西、三店西路以北汉口澎湃城A、B地块7栋1单元13层3号</t>
  </si>
  <si>
    <t>湖北省武汉市东西湖区临空港大道以西、三店西路以北汉口澎湃城A、B地块7栋1单元13层4号</t>
  </si>
  <si>
    <t>湖北省武汉市东西湖区临空港大道以西、三店西路以北汉口澎湃城A、B地块7栋1单元14层1号</t>
  </si>
  <si>
    <t>湖北省武汉市东西湖区临空港大道以西、三店西路以北汉口澎湃城A、B地块7栋1单元14层2号</t>
  </si>
  <si>
    <t>湖北省武汉市东西湖区临空港大道以西、三店西路以北汉口澎湃城A、B地块7栋1单元14层3号</t>
  </si>
  <si>
    <t>湖北省武汉市东西湖区临空港大道以西、三店西路以北汉口澎湃城A、B地块7栋1单元14层4号</t>
  </si>
  <si>
    <t>湖北省武汉市东西湖区临空港大道以西、三店西路以北汉口澎湃城A、B地块7栋1单元15层1号</t>
  </si>
  <si>
    <t>湖北省武汉市东西湖区临空港大道以西、三店西路以北汉口澎湃城A、B地块7栋1单元15层2号</t>
  </si>
  <si>
    <t>湖北省武汉市东西湖区临空港大道以西、三店西路以北汉口澎湃城A、B地块7栋1单元15层3号</t>
  </si>
  <si>
    <t>湖北省武汉市东西湖区临空港大道以西、三店西路以北汉口澎湃城A、B地块7栋1单元15层4号</t>
  </si>
  <si>
    <t>湖北省武汉市东西湖区临空港大道以西、三店西路以北汉口澎湃城A、B地块7栋1单元16层1号</t>
  </si>
  <si>
    <t>湖北省武汉市东西湖区临空港大道以西、三店西路以北汉口澎湃城A、B地块7栋1单元16层2号</t>
  </si>
  <si>
    <t>湖北省武汉市东西湖区临空港大道以西、三店西路以北汉口澎湃城A、B地块7栋1单元16层3号</t>
  </si>
  <si>
    <t>湖北省武汉市东西湖区临空港大道以西、三店西路以北汉口澎湃城A、B地块7栋1单元16层4号</t>
  </si>
  <si>
    <t>湖北省武汉市东西湖区临空港大道以西、三店西路以北汉口澎湃城A、B地块7栋1单元17层1号</t>
  </si>
  <si>
    <t>湖北省武汉市东西湖区临空港大道以西、三店西路以北汉口澎湃城A、B地块7栋1单元17层2号</t>
  </si>
  <si>
    <t>湖北省武汉市东西湖区临空港大道以西、三店西路以北汉口澎湃城A、B地块7栋1单元17层3号</t>
  </si>
  <si>
    <t>湖北省武汉市东西湖区临空港大道以西、三店西路以北汉口澎湃城A、B地块7栋1单元17层4号</t>
  </si>
  <si>
    <t>湖北省武汉市东西湖区临空港大道以西、三店西路以北汉口澎湃城A、B地块7栋1单元18层1号</t>
  </si>
  <si>
    <t>湖北省武汉市东西湖区临空港大道以西、三店西路以北汉口澎湃城A、B地块7栋1单元18层2号</t>
  </si>
  <si>
    <t>湖北省武汉市东西湖区临空港大道以西、三店西路以北汉口澎湃城A、B地块7栋1单元18层3号</t>
  </si>
  <si>
    <t>湖北省武汉市东西湖区临空港大道以西、三店西路以北汉口澎湃城A、B地块7栋1单元18层4号</t>
  </si>
  <si>
    <t>湖北省武汉市东西湖区临空港大道以西、三店西路以北汉口澎湃城A、B地块7栋1单元19层1号</t>
  </si>
  <si>
    <t>湖北省武汉市东西湖区临空港大道以西、三店西路以北汉口澎湃城A、B地块7栋1单元19层2号</t>
  </si>
  <si>
    <t>湖北省武汉市东西湖区临空港大道以西、三店西路以北汉口澎湃城A、B地块7栋1单元19层3号</t>
  </si>
  <si>
    <t>湖北省武汉市东西湖区临空港大道以西、三店西路以北汉口澎湃城A、B地块7栋1单元19层4号</t>
  </si>
  <si>
    <t>湖北省武汉市东西湖区临空港大道以西、三店西路以北汉口澎湃城A、B地块7栋1单元20层1号</t>
  </si>
  <si>
    <t>湖北省武汉市东西湖区临空港大道以西、三店西路以北汉口澎湃城A、B地块7栋1单元20层2号</t>
  </si>
  <si>
    <t>湖北省武汉市东西湖区临空港大道以西、三店西路以北汉口澎湃城A、B地块7栋1单元20层3号</t>
  </si>
  <si>
    <t>湖北省武汉市东西湖区临空港大道以西、三店西路以北汉口澎湃城A、B地块7栋1单元20层4号</t>
  </si>
  <si>
    <t>湖北省武汉市东西湖区临空港大道以西、三店西路以北汉口澎湃城A、B地块7栋1单元21层1号</t>
  </si>
  <si>
    <t>湖北省武汉市东西湖区临空港大道以西、三店西路以北汉口澎湃城A、B地块7栋1单元21层2号</t>
  </si>
  <si>
    <t>湖北省武汉市东西湖区临空港大道以西、三店西路以北汉口澎湃城A、B地块7栋1单元21层3号</t>
  </si>
  <si>
    <t>湖北省武汉市东西湖区临空港大道以西、三店西路以北汉口澎湃城A、B地块7栋1单元21层4号</t>
  </si>
  <si>
    <t>湖北省武汉市东西湖区临空港大道以西、三店西路以北汉口澎湃城A、B地块7栋1单元22层1号</t>
  </si>
  <si>
    <t>湖北省武汉市东西湖区临空港大道以西、三店西路以北汉口澎湃城A、B地块7栋1单元22层2号</t>
  </si>
  <si>
    <t>湖北省武汉市东西湖区临空港大道以西、三店西路以北汉口澎湃城A、B地块7栋1单元22层3号</t>
  </si>
  <si>
    <t>湖北省武汉市东西湖区临空港大道以西、三店西路以北汉口澎湃城A、B地块7栋1单元22层4号</t>
  </si>
  <si>
    <t>湖北省武汉市东西湖区临空港大道以西、三店西路以北汉口澎湃城A、B地块7栋1单元23层1号</t>
  </si>
  <si>
    <t>湖北省武汉市东西湖区临空港大道以西、三店西路以北汉口澎湃城A、B地块7栋1单元23层2号</t>
  </si>
  <si>
    <t>湖北省武汉市东西湖区临空港大道以西、三店西路以北汉口澎湃城A、B地块7栋1单元23层3号</t>
  </si>
  <si>
    <t>湖北省武汉市东西湖区临空港大道以西、三店西路以北汉口澎湃城A、B地块7栋1单元23层4号</t>
  </si>
  <si>
    <t>湖北省武汉市东西湖区临空港大道以西、三店西路以北汉口澎湃城A、B地块8栋1单元1层1号</t>
  </si>
  <si>
    <t>湖北省武汉市东西湖区临空港大道以西、三店西路以北汉口澎湃城A、B地块8栋1单元1层4号</t>
  </si>
  <si>
    <t>湖北省武汉市东西湖区临空港大道以西、三店西路以北汉口澎湃城A、B地块8栋1单元2层1号</t>
  </si>
  <si>
    <t>湖北省武汉市东西湖区临空港大道以西、三店西路以北汉口澎湃城A、B地块8栋1单元2层2号</t>
  </si>
  <si>
    <t>湖北省武汉市东西湖区临空港大道以西、三店西路以北汉口澎湃城A、B地块8栋1单元2层3号</t>
  </si>
  <si>
    <t>湖北省武汉市东西湖区临空港大道以西、三店西路以北汉口澎湃城A、B地块8栋1单元2层4号</t>
  </si>
  <si>
    <t>湖北省武汉市东西湖区临空港大道以西、三店西路以北汉口澎湃城A、B地块8栋1单元3层1号</t>
  </si>
  <si>
    <t>湖北省武汉市东西湖区临空港大道以西、三店西路以北汉口澎湃城A、B地块8栋1单元3层2号</t>
  </si>
  <si>
    <t>湖北省武汉市东西湖区临空港大道以西、三店西路以北汉口澎湃城A、B地块8栋1单元3层3号</t>
  </si>
  <si>
    <t>湖北省武汉市东西湖区临空港大道以西、三店西路以北汉口澎湃城A、B地块8栋1单元3层4号</t>
  </si>
  <si>
    <t>湖北省武汉市东西湖区临空港大道以西、三店西路以北汉口澎湃城A、B地块8栋1单元4层1号</t>
  </si>
  <si>
    <t>湖北省武汉市东西湖区临空港大道以西、三店西路以北汉口澎湃城A、B地块8栋1单元4层2号</t>
  </si>
  <si>
    <t>湖北省武汉市东西湖区临空港大道以西、三店西路以北汉口澎湃城A、B地块8栋1单元4层3号</t>
  </si>
  <si>
    <t>湖北省武汉市东西湖区临空港大道以西、三店西路以北汉口澎湃城A、B地块8栋1单元4层4号</t>
  </si>
  <si>
    <t>湖北省武汉市东西湖区临空港大道以西、三店西路以北汉口澎湃城A、B地块8栋1单元5层1号</t>
  </si>
  <si>
    <t>湖北省武汉市东西湖区临空港大道以西、三店西路以北汉口澎湃城A、B地块8栋1单元5层2号</t>
  </si>
  <si>
    <t>湖北省武汉市东西湖区临空港大道以西、三店西路以北汉口澎湃城A、B地块8栋1单元5层3号</t>
  </si>
  <si>
    <t>湖北省武汉市东西湖区临空港大道以西、三店西路以北汉口澎湃城A、B地块8栋1单元5层4号</t>
  </si>
  <si>
    <t>湖北省武汉市东西湖区临空港大道以西、三店西路以北汉口澎湃城A、B地块8栋1单元6层1号</t>
  </si>
  <si>
    <t>湖北省武汉市东西湖区临空港大道以西、三店西路以北汉口澎湃城A、B地块8栋1单元6层2号</t>
  </si>
  <si>
    <t>湖北省武汉市东西湖区临空港大道以西、三店西路以北汉口澎湃城A、B地块8栋1单元6层3号</t>
  </si>
  <si>
    <t>湖北省武汉市东西湖区临空港大道以西、三店西路以北汉口澎湃城A、B地块8栋1单元6层4号</t>
  </si>
  <si>
    <t>湖北省武汉市东西湖区临空港大道以西、三店西路以北汉口澎湃城A、B地块8栋1单元7层1号</t>
  </si>
  <si>
    <t>湖北省武汉市东西湖区临空港大道以西、三店西路以北汉口澎湃城A、B地块8栋1单元7层2号</t>
  </si>
  <si>
    <t>湖北省武汉市东西湖区临空港大道以西、三店西路以北汉口澎湃城A、B地块8栋1单元7层3号</t>
  </si>
  <si>
    <t>湖北省武汉市东西湖区临空港大道以西、三店西路以北汉口澎湃城A、B地块8栋1单元7层4号</t>
  </si>
  <si>
    <t>湖北省武汉市东西湖区临空港大道以西、三店西路以北汉口澎湃城A、B地块8栋1单元8层1号</t>
  </si>
  <si>
    <t>湖北省武汉市东西湖区临空港大道以西、三店西路以北汉口澎湃城A、B地块8栋1单元8层2号</t>
  </si>
  <si>
    <t>湖北省武汉市东西湖区临空港大道以西、三店西路以北汉口澎湃城A、B地块8栋1单元8层3号</t>
  </si>
  <si>
    <t>湖北省武汉市东西湖区临空港大道以西、三店西路以北汉口澎湃城A、B地块8栋1单元8层4号</t>
  </si>
  <si>
    <t>湖北省武汉市东西湖区临空港大道以西、三店西路以北汉口澎湃城A、B地块8栋1单元9层1号</t>
  </si>
  <si>
    <t>湖北省武汉市东西湖区临空港大道以西、三店西路以北汉口澎湃城A、B地块8栋1单元9层2号</t>
  </si>
  <si>
    <t>湖北省武汉市东西湖区临空港大道以西、三店西路以北汉口澎湃城A、B地块8栋1单元9层3号</t>
  </si>
  <si>
    <t>湖北省武汉市东西湖区临空港大道以西、三店西路以北汉口澎湃城A、B地块8栋1单元9层4号</t>
  </si>
  <si>
    <t>湖北省武汉市东西湖区临空港大道以西、三店西路以北汉口澎湃城A、B地块8栋1单元10层1号</t>
  </si>
  <si>
    <t>湖北省武汉市东西湖区临空港大道以西、三店西路以北汉口澎湃城A、B地块8栋1单元10层2号</t>
  </si>
  <si>
    <t>湖北省武汉市东西湖区临空港大道以西、三店西路以北汉口澎湃城A、B地块8栋1单元10层3号</t>
  </si>
  <si>
    <t>湖北省武汉市东西湖区临空港大道以西、三店西路以北汉口澎湃城A、B地块8栋1单元10层4号</t>
  </si>
  <si>
    <t>湖北省武汉市东西湖区临空港大道以西、三店西路以北汉口澎湃城A、B地块8栋1单元11层1号</t>
  </si>
  <si>
    <t>湖北省武汉市东西湖区临空港大道以西、三店西路以北汉口澎湃城A、B地块8栋1单元11层2号</t>
  </si>
  <si>
    <t>湖北省武汉市东西湖区临空港大道以西、三店西路以北汉口澎湃城A、B地块8栋1单元11层3号</t>
  </si>
  <si>
    <t>湖北省武汉市东西湖区临空港大道以西、三店西路以北汉口澎湃城A、B地块8栋1单元11层4号</t>
  </si>
  <si>
    <t>湖北省武汉市东西湖区临空港大道以西、三店西路以北汉口澎湃城A、B地块8栋1单元12层1号</t>
  </si>
  <si>
    <t>湖北省武汉市东西湖区临空港大道以西、三店西路以北汉口澎湃城A、B地块8栋1单元12层2号</t>
  </si>
  <si>
    <t>湖北省武汉市东西湖区临空港大道以西、三店西路以北汉口澎湃城A、B地块8栋1单元12层3号</t>
  </si>
  <si>
    <t>湖北省武汉市东西湖区临空港大道以西、三店西路以北汉口澎湃城A、B地块8栋1单元12层4号</t>
  </si>
  <si>
    <t>湖北省武汉市东西湖区临空港大道以西、三店西路以北汉口澎湃城A、B地块8栋1单元13层1号</t>
  </si>
  <si>
    <t>湖北省武汉市东西湖区临空港大道以西、三店西路以北汉口澎湃城A、B地块8栋1单元13层2号</t>
  </si>
  <si>
    <t>湖北省武汉市东西湖区临空港大道以西、三店西路以北汉口澎湃城A、B地块8栋1单元13层3号</t>
  </si>
  <si>
    <t>湖北省武汉市东西湖区临空港大道以西、三店西路以北汉口澎湃城A、B地块8栋1单元13层4号</t>
  </si>
  <si>
    <t>湖北省武汉市东西湖区临空港大道以西、三店西路以北汉口澎湃城A、B地块8栋1单元14层1号</t>
  </si>
  <si>
    <t>湖北省武汉市东西湖区临空港大道以西、三店西路以北汉口澎湃城A、B地块8栋1单元14层2号</t>
  </si>
  <si>
    <t>湖北省武汉市东西湖区临空港大道以西、三店西路以北汉口澎湃城A、B地块8栋1单元14层3号</t>
  </si>
  <si>
    <t>湖北省武汉市东西湖区临空港大道以西、三店西路以北汉口澎湃城A、B地块8栋1单元14层4号</t>
  </si>
  <si>
    <t>湖北省武汉市东西湖区临空港大道以西、三店西路以北汉口澎湃城A、B地块8栋1单元15层1号</t>
  </si>
  <si>
    <t>湖北省武汉市东西湖区临空港大道以西、三店西路以北汉口澎湃城A、B地块8栋1单元15层2号</t>
  </si>
  <si>
    <t>湖北省武汉市东西湖区临空港大道以西、三店西路以北汉口澎湃城A、B地块8栋1单元15层3号</t>
  </si>
  <si>
    <t>湖北省武汉市东西湖区临空港大道以西、三店西路以北汉口澎湃城A、B地块8栋1单元15层4号</t>
  </si>
  <si>
    <t>湖北省武汉市东西湖区临空港大道以西、三店西路以北汉口澎湃城A、B地块8栋1单元16层1号</t>
  </si>
  <si>
    <t>湖北省武汉市东西湖区临空港大道以西、三店西路以北汉口澎湃城A、B地块8栋1单元16层2号</t>
  </si>
  <si>
    <t>湖北省武汉市东西湖区临空港大道以西、三店西路以北汉口澎湃城A、B地块8栋1单元16层3号</t>
  </si>
  <si>
    <t>湖北省武汉市东西湖区临空港大道以西、三店西路以北汉口澎湃城A、B地块8栋1单元16层4号</t>
  </si>
  <si>
    <t>湖北省武汉市东西湖区临空港大道以西、三店西路以北汉口澎湃城A、B地块8栋1单元17层1号</t>
  </si>
  <si>
    <t>湖北省武汉市东西湖区临空港大道以西、三店西路以北汉口澎湃城A、B地块8栋1单元17层2号</t>
  </si>
  <si>
    <t>湖北省武汉市东西湖区临空港大道以西、三店西路以北汉口澎湃城A、B地块8栋1单元17层3号</t>
  </si>
  <si>
    <t>湖北省武汉市东西湖区临空港大道以西、三店西路以北汉口澎湃城A、B地块8栋1单元17层4号</t>
  </si>
  <si>
    <t>湖北省武汉市东西湖区临空港大道以西、三店西路以北汉口澎湃城A、B地块8栋1单元18层3号</t>
  </si>
  <si>
    <t>湖北省武汉市东西湖区临空港大道以西、三店西路以北汉口澎湃城A、B地块8栋1单元18层4号</t>
  </si>
  <si>
    <t>湖北省武汉市东西湖区临空港大道以西、三店西路以北汉口澎湃城A、B地块8栋1单元18层1号</t>
  </si>
  <si>
    <t>湖北省武汉市东西湖区临空港大道以西、三店西路以北汉口澎湃城A、B地块8栋1单元18层2号</t>
  </si>
  <si>
    <t>湖北省武汉市东西湖区临空港大道以西、三店西路以北汉口澎湃城A、B地块8栋1单元19层1号</t>
  </si>
  <si>
    <t>湖北省武汉市东西湖区临空港大道以西、三店西路以北汉口澎湃城A、B地块8栋1单元19层2号</t>
  </si>
  <si>
    <t>湖北省武汉市东西湖区临空港大道以西、三店西路以北汉口澎湃城A、B地块8栋1单元19层3号</t>
  </si>
  <si>
    <t>湖北省武汉市东西湖区临空港大道以西、三店西路以北汉口澎湃城A、B地块8栋1单元19层4号</t>
  </si>
  <si>
    <t>湖北省武汉市东西湖区临空港大道以西、三店西路以北汉口澎湃城A、B地块8栋1单元20层1号</t>
  </si>
  <si>
    <t>湖北省武汉市东西湖区临空港大道以西、三店西路以北汉口澎湃城A、B地块8栋1单元20层2号</t>
  </si>
  <si>
    <t>湖北省武汉市东西湖区临空港大道以西、三店西路以北汉口澎湃城A、B地块8栋1单元20层3号</t>
  </si>
  <si>
    <t>湖北省武汉市东西湖区临空港大道以西、三店西路以北汉口澎湃城A、B地块8栋1单元20层4号</t>
  </si>
  <si>
    <t>湖北省武汉市东西湖区临空港大道以西、三店西路以北汉口澎湃城A、B地块8栋1单元21层1号</t>
  </si>
  <si>
    <t>湖北省武汉市东西湖区临空港大道以西、三店西路以北汉口澎湃城A、B地块8栋1单元21层2号</t>
  </si>
  <si>
    <t>湖北省武汉市东西湖区临空港大道以西、三店西路以北汉口澎湃城A、B地块8栋1单元21层3号</t>
  </si>
  <si>
    <t>湖北省武汉市东西湖区临空港大道以西、三店西路以北汉口澎湃城A、B地块8栋1单元21层4号</t>
  </si>
  <si>
    <t>湖北省武汉市东西湖区临空港大道以西、三店西路以北汉口澎湃城A、B地块8栋1单元22层1号</t>
  </si>
  <si>
    <t>湖北省武汉市东西湖区临空港大道以西、三店西路以北汉口澎湃城A、B地块8栋1单元22层2号</t>
  </si>
  <si>
    <t>湖北省武汉市东西湖区临空港大道以西、三店西路以北汉口澎湃城A、B地块8栋1单元22层3号</t>
  </si>
  <si>
    <t>湖北省武汉市东西湖区临空港大道以西、三店西路以北汉口澎湃城A、B地块8栋1单元22层4号</t>
  </si>
  <si>
    <t>湖北省武汉市东西湖区临空港大道以西、三店西路以北汉口澎湃城A、B地块8栋1单元23层1号</t>
  </si>
  <si>
    <t>湖北省武汉市东西湖区临空港大道以西、三店西路以北汉口澎湃城A、B地块8栋1单元23层2号</t>
  </si>
  <si>
    <t>湖北省武汉市东西湖区临空港大道以西、三店西路以北汉口澎湃城A、B地块8栋1单元23层3号</t>
  </si>
  <si>
    <t>湖北省武汉市东西湖区临空港大道以西、三店西路以北汉口澎湃城A、B地块8栋1单元23层4号</t>
  </si>
  <si>
    <t>湖北省武汉市东西湖区临空港大道以西、三店西路以北汉口澎湃城A、B地块8栋1单元24层1号</t>
  </si>
  <si>
    <t>湖北省武汉市东西湖区临空港大道以西、三店西路以北汉口澎湃城A、B地块8栋1单元24层2号</t>
  </si>
  <si>
    <t>湖北省武汉市东西湖区临空港大道以西、三店西路以北汉口澎湃城A、B地块8栋1单元24层3号</t>
  </si>
  <si>
    <t>湖北省武汉市东西湖区临空港大道以西、三店西路以北汉口澎湃城A、B地块8栋1单元24层4号</t>
  </si>
  <si>
    <t>湖北省武汉市东西湖区临空港大道以西、三店西路以北汉口澎湃城A、B地块8栋1单元25层1号</t>
  </si>
  <si>
    <t>湖北省武汉市东西湖区临空港大道以西、三店西路以北汉口澎湃城A、B地块8栋1单元25层2号</t>
  </si>
  <si>
    <t>湖北省武汉市东西湖区临空港大道以西、三店西路以北汉口澎湃城A、B地块8栋1单元25层3号</t>
  </si>
  <si>
    <t>湖北省武汉市东西湖区临空港大道以西、三店西路以北汉口澎湃城A、B地块8栋1单元25层4号</t>
  </si>
  <si>
    <t>湖北省武汉市东西湖区临空港大道以西、三店西路以北汉口澎湃城A、B地块8栋1单元26层1号</t>
  </si>
  <si>
    <t>湖北省武汉市东西湖区临空港大道以西、三店西路以北汉口澎湃城A、B地块8栋1单元26层2号</t>
  </si>
  <si>
    <t>湖北省武汉市东西湖区临空港大道以西、三店西路以北汉口澎湃城A、B地块8栋1单元26层3号</t>
  </si>
  <si>
    <t>湖北省武汉市东西湖区临空港大道以西、三店西路以北汉口澎湃城A、B地块8栋1单元26层4号</t>
  </si>
  <si>
    <t>湖北省武汉市东西湖区临空港大道以西、三店西路以北汉口澎湃城A、B地块8栋1单元27层1号</t>
  </si>
  <si>
    <t>湖北省武汉市东西湖区临空港大道以西、三店西路以北汉口澎湃城A、B地块8栋1单元27层2号</t>
  </si>
  <si>
    <t>湖北省武汉市东西湖区临空港大道以西、三店西路以北汉口澎湃城A、B地块8栋1单元27层3号</t>
  </si>
  <si>
    <t>湖北省武汉市东西湖区临空港大道以西、三店西路以北汉口澎湃城A、B地块8栋1单元27层4号</t>
  </si>
  <si>
    <t>湖北省武汉市东西湖区临空港大道以西、三店西路以北汉口澎湃城A、B地块9栋1单元1层1号</t>
  </si>
  <si>
    <t>湖北省武汉市东西湖区临空港大道以西、三店西路以北汉口澎湃城A、B地块9栋1单元1层2号</t>
  </si>
  <si>
    <t>湖北省武汉市东西湖区临空港大道以西、三店西路以北汉口澎湃城A、B地块9栋1单元1层3号</t>
  </si>
  <si>
    <t>湖北省武汉市东西湖区临空港大道以西、三店西路以北汉口澎湃城A、B地块9栋1单元1层4号</t>
  </si>
  <si>
    <t>湖北省武汉市东西湖区临空港大道以西、三店西路以北汉口澎湃城A、B地块9栋1单元2层1号</t>
  </si>
  <si>
    <t>湖北省武汉市东西湖区临空港大道以西、三店西路以北汉口澎湃城A、B地块9栋1单元2层2号</t>
  </si>
  <si>
    <t>湖北省武汉市东西湖区临空港大道以西、三店西路以北汉口澎湃城A、B地块9栋1单元2层3号</t>
  </si>
  <si>
    <t>湖北省武汉市东西湖区临空港大道以西、三店西路以北汉口澎湃城A、B地块9栋1单元2层4号</t>
  </si>
  <si>
    <t>湖北省武汉市东西湖区临空港大道以西、三店西路以北汉口澎湃城A、B地块9栋1单元3层1号</t>
  </si>
  <si>
    <t>湖北省武汉市东西湖区临空港大道以西、三店西路以北汉口澎湃城A、B地块9栋1单元3层2号</t>
  </si>
  <si>
    <t>湖北省武汉市东西湖区临空港大道以西、三店西路以北汉口澎湃城A、B地块9栋1单元3层3号</t>
  </si>
  <si>
    <t>湖北省武汉市东西湖区临空港大道以西、三店西路以北汉口澎湃城A、B地块9栋1单元3层4号</t>
  </si>
  <si>
    <t>湖北省武汉市东西湖区临空港大道以西、三店西路以北汉口澎湃城A、B地块9栋1单元4层1号</t>
  </si>
  <si>
    <t>湖北省武汉市东西湖区临空港大道以西、三店西路以北汉口澎湃城A、B地块9栋1单元4层2号</t>
  </si>
  <si>
    <t>湖北省武汉市东西湖区临空港大道以西、三店西路以北汉口澎湃城A、B地块9栋1单元4层3号</t>
  </si>
  <si>
    <t>湖北省武汉市东西湖区临空港大道以西、三店西路以北汉口澎湃城A、B地块9栋1单元4层4号</t>
  </si>
  <si>
    <t>湖北省武汉市东西湖区临空港大道以西、三店西路以北汉口澎湃城A、B地块9栋1单元5层1号</t>
  </si>
  <si>
    <t>湖北省武汉市东西湖区临空港大道以西、三店西路以北汉口澎湃城A、B地块9栋1单元5层2号</t>
  </si>
  <si>
    <t>湖北省武汉市东西湖区临空港大道以西、三店西路以北汉口澎湃城A、B地块9栋1单元5层3号</t>
  </si>
  <si>
    <t>湖北省武汉市东西湖区临空港大道以西、三店西路以北汉口澎湃城A、B地块9栋1单元5层4号</t>
  </si>
  <si>
    <t>湖北省武汉市东西湖区临空港大道以西、三店西路以北汉口澎湃城A、B地块9栋1单元6层1号</t>
  </si>
  <si>
    <t>湖北省武汉市东西湖区临空港大道以西、三店西路以北汉口澎湃城A、B地块9栋1单元6层2号</t>
  </si>
  <si>
    <t>湖北省武汉市东西湖区临空港大道以西、三店西路以北汉口澎湃城A、B地块9栋1单元6层3号</t>
  </si>
  <si>
    <t>湖北省武汉市东西湖区临空港大道以西、三店西路以北汉口澎湃城A、B地块9栋1单元6层4号</t>
  </si>
  <si>
    <t>湖北省武汉市东西湖区临空港大道以西、三店西路以北汉口澎湃城A、B地块9栋1单元7层1号</t>
  </si>
  <si>
    <t>湖北省武汉市东西湖区临空港大道以西、三店西路以北汉口澎湃城A、B地块9栋1单元7层2号</t>
  </si>
  <si>
    <t>湖北省武汉市东西湖区临空港大道以西、三店西路以北汉口澎湃城A、B地块9栋1单元7层3号</t>
  </si>
  <si>
    <t>湖北省武汉市东西湖区临空港大道以西、三店西路以北汉口澎湃城A、B地块9栋1单元7层4号</t>
  </si>
  <si>
    <t>湖北省武汉市东西湖区临空港大道以西、三店西路以北汉口澎湃城A、B地块9栋1单元8层1号</t>
  </si>
  <si>
    <t>湖北省武汉市东西湖区临空港大道以西、三店西路以北汉口澎湃城A、B地块9栋1单元8层2号</t>
  </si>
  <si>
    <t>湖北省武汉市东西湖区临空港大道以西、三店西路以北汉口澎湃城A、B地块9栋1单元8层3号</t>
  </si>
  <si>
    <t>湖北省武汉市东西湖区临空港大道以西、三店西路以北汉口澎湃城A、B地块9栋1单元8层4号</t>
  </si>
  <si>
    <t>湖北省武汉市东西湖区临空港大道以西、三店西路以北汉口澎湃城A、B地块9栋1单元9层1号</t>
  </si>
  <si>
    <t>湖北省武汉市东西湖区临空港大道以西、三店西路以北汉口澎湃城A、B地块9栋1单元9层2号</t>
  </si>
  <si>
    <t>湖北省武汉市东西湖区临空港大道以西、三店西路以北汉口澎湃城A、B地块9栋1单元9层3号</t>
  </si>
  <si>
    <t>湖北省武汉市东西湖区临空港大道以西、三店西路以北汉口澎湃城A、B地块9栋1单元9层4号</t>
  </si>
  <si>
    <t>湖北省武汉市东西湖区临空港大道以西、三店西路以北汉口澎湃城A、B地块9栋1单元10层1号</t>
  </si>
  <si>
    <t>湖北省武汉市东西湖区临空港大道以西、三店西路以北汉口澎湃城A、B地块9栋1单元10层2号</t>
  </si>
  <si>
    <t>湖北省武汉市东西湖区临空港大道以西、三店西路以北汉口澎湃城A、B地块9栋1单元10层3号</t>
  </si>
  <si>
    <t>湖北省武汉市东西湖区临空港大道以西、三店西路以北汉口澎湃城A、B地块9栋1单元10层4号</t>
  </si>
  <si>
    <t>湖北省武汉市东西湖区临空港大道以西、三店西路以北汉口澎湃城A、B地块9栋1单元11层1号</t>
  </si>
  <si>
    <t>湖北省武汉市东西湖区临空港大道以西、三店西路以北汉口澎湃城A、B地块9栋1单元11层2号</t>
  </si>
  <si>
    <t>湖北省武汉市东西湖区临空港大道以西、三店西路以北汉口澎湃城A、B地块9栋1单元11层3号</t>
  </si>
  <si>
    <t>湖北省武汉市东西湖区临空港大道以西、三店西路以北汉口澎湃城A、B地块9栋1单元11层4号</t>
  </si>
  <si>
    <t>湖北省武汉市东西湖区临空港大道以西、三店西路以北汉口澎湃城A、B地块9栋1单元12层1号</t>
  </si>
  <si>
    <t>湖北省武汉市东西湖区临空港大道以西、三店西路以北汉口澎湃城A、B地块9栋1单元12层2号</t>
  </si>
  <si>
    <t>湖北省武汉市东西湖区临空港大道以西、三店西路以北汉口澎湃城A、B地块9栋1单元12层3号</t>
  </si>
  <si>
    <t>湖北省武汉市东西湖区临空港大道以西、三店西路以北汉口澎湃城A、B地块9栋1单元12层4号</t>
  </si>
  <si>
    <t>湖北省武汉市东西湖区临空港大道以西、三店西路以北汉口澎湃城A、B地块9栋1单元13层1号</t>
  </si>
  <si>
    <t>湖北省武汉市东西湖区临空港大道以西、三店西路以北汉口澎湃城A、B地块9栋1单元13层2号</t>
  </si>
  <si>
    <t>湖北省武汉市东西湖区临空港大道以西、三店西路以北汉口澎湃城A、B地块9栋1单元13层3号</t>
  </si>
  <si>
    <t>湖北省武汉市东西湖区临空港大道以西、三店西路以北汉口澎湃城A、B地块9栋1单元13层4号</t>
  </si>
  <si>
    <t>湖北省武汉市东西湖区临空港大道以西、三店西路以北汉口澎湃城A、B地块9栋1单元14层1号</t>
  </si>
  <si>
    <t>湖北省武汉市东西湖区临空港大道以西、三店西路以北汉口澎湃城A、B地块9栋1单元14层2号</t>
  </si>
  <si>
    <t>湖北省武汉市东西湖区临空港大道以西、三店西路以北汉口澎湃城A、B地块9栋1单元14层3号</t>
  </si>
  <si>
    <t>湖北省武汉市东西湖区临空港大道以西、三店西路以北汉口澎湃城A、B地块9栋1单元14层4号</t>
  </si>
  <si>
    <t>湖北省武汉市东西湖区临空港大道以西、三店西路以北汉口澎湃城A、B地块9栋1单元15层1号</t>
  </si>
  <si>
    <t>湖北省武汉市东西湖区临空港大道以西、三店西路以北汉口澎湃城A、B地块9栋1单元15层2号</t>
  </si>
  <si>
    <t>湖北省武汉市东西湖区临空港大道以西、三店西路以北汉口澎湃城A、B地块9栋1单元15层3号</t>
  </si>
  <si>
    <t>湖北省武汉市东西湖区临空港大道以西、三店西路以北汉口澎湃城A、B地块9栋1单元15层4号</t>
  </si>
  <si>
    <t>湖北省武汉市东西湖区临空港大道以西、三店西路以北汉口澎湃城A、B地块9栋1单元16层1号</t>
  </si>
  <si>
    <t>湖北省武汉市东西湖区临空港大道以西、三店西路以北汉口澎湃城A、B地块9栋1单元16层2号</t>
  </si>
  <si>
    <t>湖北省武汉市东西湖区临空港大道以西、三店西路以北汉口澎湃城A、B地块9栋1单元16层3号</t>
  </si>
  <si>
    <t>湖北省武汉市东西湖区临空港大道以西、三店西路以北汉口澎湃城A、B地块9栋1单元16层4号</t>
  </si>
  <si>
    <t>湖北省武汉市东西湖区临空港大道以西、三店西路以北汉口澎湃城A、B地块9栋1单元17层1号</t>
  </si>
  <si>
    <t>湖北省武汉市东西湖区临空港大道以西、三店西路以北汉口澎湃城A、B地块9栋1单元17层2号</t>
  </si>
  <si>
    <t>湖北省武汉市东西湖区临空港大道以西、三店西路以北汉口澎湃城A、B地块9栋1单元17层3号</t>
  </si>
  <si>
    <t>湖北省武汉市东西湖区临空港大道以西、三店西路以北汉口澎湃城A、B地块9栋1单元17层4号</t>
  </si>
  <si>
    <t>湖北省武汉市东西湖区临空港大道以西、三店西路以北汉口澎湃城A、B地块9栋1单元18层1号</t>
  </si>
  <si>
    <t>湖北省武汉市东西湖区临空港大道以西、三店西路以北汉口澎湃城A、B地块9栋1单元18层2号</t>
  </si>
  <si>
    <t>湖北省武汉市东西湖区临空港大道以西、三店西路以北汉口澎湃城A、B地块9栋1单元18层3号</t>
  </si>
  <si>
    <t>湖北省武汉市东西湖区临空港大道以西、三店西路以北汉口澎湃城A、B地块9栋1单元18层4号</t>
  </si>
  <si>
    <t>湖北省武汉市东西湖区临空港大道以西、三店西路以北汉口澎湃城A、B地块9栋1单元19层1号</t>
  </si>
  <si>
    <t>湖北省武汉市东西湖区临空港大道以西、三店西路以北汉口澎湃城A、B地块9栋1单元19层2号</t>
  </si>
  <si>
    <t>湖北省武汉市东西湖区临空港大道以西、三店西路以北汉口澎湃城A、B地块9栋1单元19层3号</t>
  </si>
  <si>
    <t>湖北省武汉市东西湖区临空港大道以西、三店西路以北汉口澎湃城A、B地块9栋1单元19层4号</t>
  </si>
  <si>
    <t>湖北省武汉市东西湖区临空港大道以西、三店西路以北汉口澎湃城A、B地块9栋1单元20层1号</t>
  </si>
  <si>
    <t>湖北省武汉市东西湖区临空港大道以西、三店西路以北汉口澎湃城A、B地块9栋1单元20层2号</t>
  </si>
  <si>
    <t>湖北省武汉市东西湖区临空港大道以西、三店西路以北汉口澎湃城A、B地块9栋1单元20层3号</t>
  </si>
  <si>
    <t>湖北省武汉市东西湖区临空港大道以西、三店西路以北汉口澎湃城A、B地块9栋1单元20层4号</t>
  </si>
  <si>
    <t>湖北省武汉市东西湖区临空港大道以西、三店西路以北汉口澎湃城A、B地块9栋1单元21层1号</t>
  </si>
  <si>
    <t>湖北省武汉市东西湖区临空港大道以西、三店西路以北汉口澎湃城A、B地块9栋1单元21层2号</t>
  </si>
  <si>
    <t>湖北省武汉市东西湖区临空港大道以西、三店西路以北汉口澎湃城A、B地块9栋1单元21层3号</t>
  </si>
  <si>
    <t>湖北省武汉市东西湖区临空港大道以西、三店西路以北汉口澎湃城A、B地块9栋1单元21层4号</t>
  </si>
  <si>
    <t>湖北省武汉市东西湖区临空港大道以西、三店西路以北汉口澎湃城A、B地块9栋1单元22层1号</t>
  </si>
  <si>
    <t>湖北省武汉市东西湖区临空港大道以西、三店西路以北汉口澎湃城A、B地块9栋1单元22层2号</t>
  </si>
  <si>
    <t>湖北省武汉市东西湖区临空港大道以西、三店西路以北汉口澎湃城A、B地块9栋1单元22层3号</t>
  </si>
  <si>
    <t>湖北省武汉市东西湖区临空港大道以西、三店西路以北汉口澎湃城A、B地块9栋1单元22层4号</t>
  </si>
  <si>
    <t>湖北省武汉市东西湖区临空港大道以西、三店西路以北汉口澎湃城A、B地块9栋1单元23层1号</t>
  </si>
  <si>
    <t>湖北省武汉市东西湖区临空港大道以西、三店西路以北汉口澎湃城A、B地块9栋1单元23层2号</t>
  </si>
  <si>
    <t>湖北省武汉市东西湖区临空港大道以西、三店西路以北汉口澎湃城A、B地块9栋1单元23层3号</t>
  </si>
  <si>
    <t>湖北省武汉市东西湖区临空港大道以西、三店西路以北汉口澎湃城A、B地块9栋1单元23层4号</t>
  </si>
  <si>
    <t>湖北省武汉市东西湖区临空港大道以西、三店西路以北汉口澎湃城A、B地块9栋1单元24层1号</t>
  </si>
  <si>
    <t>湖北省武汉市东西湖区临空港大道以西、三店西路以北汉口澎湃城A、B地块9栋1单元24层2号</t>
  </si>
  <si>
    <t>湖北省武汉市东西湖区临空港大道以西、三店西路以北汉口澎湃城A、B地块9栋1单元24层3号</t>
  </si>
  <si>
    <t>湖北省武汉市东西湖区临空港大道以西、三店西路以北汉口澎湃城A、B地块9栋1单元24层4号</t>
  </si>
  <si>
    <t>湖北省武汉市东西湖区临空港大道以西、三店西路以北汉口澎湃城A、B地块9栋1单元25层1号</t>
  </si>
  <si>
    <t>湖北省武汉市东西湖区临空港大道以西、三店西路以北汉口澎湃城A、B地块9栋1单元25层2号</t>
  </si>
  <si>
    <t>湖北省武汉市东西湖区临空港大道以西、三店西路以北汉口澎湃城A、B地块9栋1单元25层3号</t>
  </si>
  <si>
    <t>湖北省武汉市东西湖区临空港大道以西、三店西路以北汉口澎湃城A、B地块9栋1单元25层4号</t>
  </si>
  <si>
    <t>湖北省武汉市东西湖区临空港大道以西、三店西路以北汉口澎湃城A、B地块9栋1单元26层1号</t>
  </si>
  <si>
    <t>湖北省武汉市东西湖区临空港大道以西、三店西路以北汉口澎湃城A、B地块9栋1单元26层2号</t>
  </si>
  <si>
    <t>湖北省武汉市东西湖区临空港大道以西、三店西路以北汉口澎湃城A、B地块9栋1单元26层3号</t>
  </si>
  <si>
    <t>湖北省武汉市东西湖区临空港大道以西、三店西路以北汉口澎湃城A、B地块9栋1单元26层4号</t>
  </si>
  <si>
    <t>湖北省武汉市东西湖区临空港大道以西、三店西路以北汉口澎湃城A、B地块9栋1层（1）商号</t>
  </si>
  <si>
    <t>湖北省武汉市东西湖区临空港大道以西、三店西路以北汉口澎湃城A、B地块9栋1层（4）商号</t>
  </si>
  <si>
    <t>湖北省武汉市东西湖区临空港大道以西、三店西路以北汉口澎湃城A、B地块9栋1层（5）商号</t>
  </si>
  <si>
    <t>湖北省武汉市东西湖区临空港大道以西、三店西路以北汉口澎湃城A、B地块9栋1-2层（2）商号</t>
  </si>
  <si>
    <t>湖北省武汉市东西湖区临空港大道以西、三店西路以北汉口澎湃城A、B地块9栋1-2层（3）商号</t>
  </si>
  <si>
    <t>湖北省武汉市东西湖区临空港大道以西、三店西路以北汉口澎湃城A、B地块9栋1-2层（6）商号</t>
  </si>
  <si>
    <t>房地产市场价值</t>
    <phoneticPr fontId="143" type="noConversion"/>
  </si>
  <si>
    <t>——</t>
    <phoneticPr fontId="143" type="noConversion"/>
  </si>
  <si>
    <t>9号楼住宅分摊</t>
    <phoneticPr fontId="143" type="noConversion"/>
  </si>
  <si>
    <t>9号楼商业分摊</t>
    <phoneticPr fontId="143" type="noConversion"/>
  </si>
  <si>
    <r>
      <t>A</t>
    </r>
    <r>
      <rPr>
        <b/>
        <sz val="10"/>
        <color theme="1"/>
        <rFont val="宋体"/>
        <family val="3"/>
        <charset val="134"/>
      </rPr>
      <t>地块住宅用房合计</t>
    </r>
    <phoneticPr fontId="143" type="noConversion"/>
  </si>
  <si>
    <t>B地块住宅、商业用房合计</t>
    <phoneticPr fontId="143" type="noConversion"/>
  </si>
  <si>
    <t>楼栋</t>
    <phoneticPr fontId="143" type="noConversion"/>
  </si>
  <si>
    <t>工程款</t>
    <phoneticPr fontId="14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</si>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</sst>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宋体"/>
      <family val="3"/>
      <charset val="134"/>
    </font>
    <font>
      <sz val="9"/>
      <color theme="1"/>
      <name val="Arial"/>
      <family val="2"/>
    </font>
    <font>
      <sz val="9"/>
      <name val="宋体"/>
      <family val="2"/>
      <charset val="134"/>
      <scheme val="minor"/>
    </font>
    <font>
      <b/>
      <sz val="9"/>
      <color rgb="FF000000"/>
      <name val="华文细黑"/>
      <family val="3"/>
      <charset val="134"/>
    </font>
    <font>
      <sz val="9"/>
      <color theme="1"/>
      <name val="华文细黑"/>
      <family val="3"/>
      <charset val="134"/>
    </font>
    <font>
      <b/>
      <sz val="9"/>
      <color theme="1"/>
      <name val="Arial"/>
      <family val="2"/>
    </font>
    <font>
      <b/>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0" xfId="0" applyAlignment="1">
      <alignment horizontal="center" vertical="center"/>
    </xf>
    <xf numFmtId="0" fontId="14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49" fontId="0" fillId="0" borderId="1" xfId="0" applyNumberFormat="1" applyBorder="1">
      <alignment vertical="center"/>
    </xf>
    <xf numFmtId="49" fontId="0" fillId="0" borderId="0" xfId="0" applyNumberFormat="1">
      <alignment vertical="center"/>
    </xf>
    <xf numFmtId="0" fontId="144" fillId="0" borderId="0" xfId="0" applyFont="1" applyAlignment="1">
      <alignment horizontal="center" vertical="center"/>
    </xf>
    <xf numFmtId="9" fontId="0" fillId="0" borderId="0" xfId="0" applyNumberFormat="1">
      <alignment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24" fillId="0" borderId="0" xfId="0" applyFont="1" applyAlignment="1">
      <alignment horizontal="center" vertical="center" wrapText="1"/>
    </xf>
    <xf numFmtId="0" fontId="124" fillId="0" borderId="0" xfId="0" applyNumberFormat="1" applyFont="1" applyAlignment="1">
      <alignment horizontal="center" vertical="center" wrapText="1"/>
    </xf>
    <xf numFmtId="0" fontId="0" fillId="0" borderId="0" xfId="0" applyAlignment="1">
      <alignment horizontal="center" vertical="center" wrapText="1"/>
    </xf>
    <xf numFmtId="0" fontId="0" fillId="0" borderId="0" xfId="0" applyNumberFormat="1" applyAlignment="1">
      <alignment horizontal="center" vertical="center" wrapText="1"/>
    </xf>
    <xf numFmtId="0" fontId="0" fillId="5" borderId="0" xfId="0" applyFill="1" applyAlignment="1">
      <alignment horizontal="center" vertical="center" wrapText="1"/>
    </xf>
    <xf numFmtId="0" fontId="0" fillId="5" borderId="0" xfId="0" applyNumberFormat="1" applyFill="1" applyAlignment="1">
      <alignment horizontal="center" vertical="center" wrapText="1"/>
    </xf>
    <xf numFmtId="0" fontId="0" fillId="9" borderId="0" xfId="0" applyFill="1" applyAlignment="1">
      <alignment horizontal="center" vertical="center" wrapText="1"/>
    </xf>
    <xf numFmtId="0" fontId="0" fillId="9" borderId="0" xfId="0" applyNumberFormat="1" applyFill="1" applyAlignment="1">
      <alignment horizontal="center" vertical="center" wrapText="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0" fillId="0" borderId="0" xfId="0">
      <alignment vertical="center"/>
    </xf>
    <xf numFmtId="0" fontId="254"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9" borderId="23"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144" fillId="0" borderId="0" xfId="0" applyFont="1" applyAlignment="1">
      <alignment vertical="center"/>
    </xf>
    <xf numFmtId="197" fontId="144" fillId="0" borderId="1" xfId="0" applyNumberFormat="1" applyFont="1" applyBorder="1" applyAlignment="1">
      <alignment vertical="center"/>
    </xf>
    <xf numFmtId="0" fontId="144" fillId="0" borderId="1" xfId="0" applyFont="1" applyBorder="1" applyAlignment="1">
      <alignment vertical="center"/>
    </xf>
    <xf numFmtId="0" fontId="99" fillId="9" borderId="1" xfId="0" applyFont="1" applyFill="1" applyBorder="1" applyAlignment="1">
      <alignment horizontal="center" vertical="center"/>
    </xf>
    <xf numFmtId="0" fontId="0" fillId="9" borderId="1" xfId="0" applyFill="1" applyBorder="1" applyAlignment="1">
      <alignment horizontal="center" vertical="center"/>
    </xf>
    <xf numFmtId="2" fontId="0" fillId="0" borderId="1" xfId="0" applyNumberFormat="1" applyBorder="1" applyAlignment="1">
      <alignment horizontal="center" vertical="center"/>
    </xf>
    <xf numFmtId="0" fontId="99" fillId="0" borderId="15" xfId="0" applyFont="1" applyFill="1" applyBorder="1" applyAlignment="1">
      <alignment horizontal="center" vertical="center"/>
    </xf>
    <xf numFmtId="186" fontId="50" fillId="9" borderId="1" xfId="0" applyNumberFormat="1" applyFont="1" applyFill="1" applyBorder="1" applyAlignment="1" applyProtection="1">
      <alignment horizontal="center" vertical="center"/>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8" fillId="0" borderId="3" xfId="0" applyNumberFormat="1" applyFont="1" applyFill="1" applyBorder="1" applyAlignment="1" applyProtection="1">
      <alignment horizontal="center" vertical="center" wrapText="1"/>
      <protection locked="0"/>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53" fillId="3" borderId="20" xfId="0" applyNumberFormat="1" applyFont="1" applyFill="1" applyBorder="1" applyAlignment="1" applyProtection="1">
      <alignment horizontal="center" vertical="center" wrapText="1"/>
      <protection locked="0"/>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0" borderId="51" xfId="0" applyNumberFormat="1" applyFont="1" applyFill="1" applyBorder="1" applyAlignment="1" applyProtection="1">
      <alignment horizontal="center" vertical="center" wrapText="1"/>
      <protection locked="0"/>
    </xf>
    <xf numFmtId="179" fontId="0" fillId="0" borderId="0" xfId="0" applyNumberFormat="1">
      <alignment vertical="center"/>
    </xf>
    <xf numFmtId="0" fontId="255" fillId="0" borderId="82" xfId="0" applyFont="1" applyBorder="1" applyAlignment="1">
      <alignment horizontal="left" vertical="center" wrapText="1"/>
    </xf>
    <xf numFmtId="0" fontId="255" fillId="0" borderId="81" xfId="0" applyFont="1" applyBorder="1" applyAlignment="1">
      <alignment horizontal="left" vertical="center" wrapText="1"/>
    </xf>
    <xf numFmtId="182" fontId="0" fillId="0" borderId="0" xfId="0" applyNumberFormat="1" applyAlignment="1">
      <alignment horizontal="center" vertical="center" wrapText="1"/>
    </xf>
    <xf numFmtId="0" fontId="0" fillId="0" borderId="58" xfId="0" applyFill="1" applyBorder="1" applyAlignment="1">
      <alignment horizontal="center" vertical="center"/>
    </xf>
    <xf numFmtId="198" fontId="0" fillId="0" borderId="0" xfId="0" applyNumberFormat="1">
      <alignment vertical="center"/>
    </xf>
    <xf numFmtId="2" fontId="0" fillId="0" borderId="0" xfId="0" applyNumberFormat="1">
      <alignment vertical="center"/>
    </xf>
    <xf numFmtId="0" fontId="257" fillId="0" borderId="1" xfId="0" applyFont="1" applyBorder="1" applyAlignment="1">
      <alignment horizontal="left" vertical="center" wrapText="1"/>
    </xf>
    <xf numFmtId="0" fontId="0" fillId="0" borderId="1" xfId="0" applyBorder="1" applyAlignment="1">
      <alignment horizontal="left" vertical="center" wrapText="1"/>
    </xf>
    <xf numFmtId="0" fontId="99" fillId="0" borderId="1" xfId="0" applyFont="1" applyBorder="1" applyAlignment="1">
      <alignment horizontal="left" vertical="center" wrapText="1"/>
    </xf>
    <xf numFmtId="49" fontId="0" fillId="0" borderId="1" xfId="0" applyNumberFormat="1" applyBorder="1" applyAlignment="1">
      <alignment horizontal="left" vertical="center"/>
    </xf>
    <xf numFmtId="0" fontId="255" fillId="0" borderId="1" xfId="0" applyFont="1" applyBorder="1" applyAlignment="1">
      <alignment horizontal="left" vertical="center" wrapText="1"/>
    </xf>
    <xf numFmtId="0" fontId="0" fillId="0" borderId="1" xfId="0" applyFill="1" applyBorder="1" applyAlignment="1">
      <alignment horizontal="left" vertical="center" wrapText="1"/>
    </xf>
    <xf numFmtId="2" fontId="99" fillId="0" borderId="1" xfId="0" applyNumberFormat="1" applyFont="1" applyBorder="1" applyAlignment="1">
      <alignment horizontal="left" vertical="center" wrapText="1"/>
    </xf>
    <xf numFmtId="0" fontId="259" fillId="0" borderId="1" xfId="0" applyFont="1" applyBorder="1" applyAlignment="1">
      <alignment horizontal="left" vertical="center" wrapText="1"/>
    </xf>
    <xf numFmtId="0" fontId="108" fillId="0" borderId="1" xfId="0" applyFont="1" applyFill="1" applyBorder="1" applyAlignment="1">
      <alignment horizontal="left" vertical="center"/>
    </xf>
    <xf numFmtId="0" fontId="145" fillId="0" borderId="1" xfId="0" applyFont="1" applyFill="1" applyBorder="1" applyAlignment="1">
      <alignment horizontal="left" vertical="center" wrapText="1"/>
    </xf>
    <xf numFmtId="0" fontId="145" fillId="0" borderId="1" xfId="0" applyFont="1" applyFill="1" applyBorder="1" applyAlignment="1">
      <alignment horizontal="left" vertical="center"/>
    </xf>
    <xf numFmtId="0" fontId="105" fillId="0" borderId="1" xfId="0" applyFont="1" applyFill="1" applyBorder="1" applyAlignment="1">
      <alignment horizontal="left" vertical="center"/>
    </xf>
    <xf numFmtId="49" fontId="56" fillId="0" borderId="1" xfId="0" applyNumberFormat="1" applyFont="1" applyFill="1" applyBorder="1" applyAlignment="1">
      <alignment horizontal="left"/>
    </xf>
    <xf numFmtId="0" fontId="56" fillId="0" borderId="1" xfId="0" applyNumberFormat="1" applyFont="1" applyFill="1" applyBorder="1" applyAlignment="1">
      <alignment horizontal="left"/>
    </xf>
    <xf numFmtId="0" fontId="0" fillId="0" borderId="1" xfId="0" applyBorder="1" applyAlignment="1">
      <alignment horizontal="left" vertical="center"/>
    </xf>
    <xf numFmtId="49" fontId="56" fillId="0" borderId="1" xfId="0" applyNumberFormat="1" applyFont="1" applyFill="1" applyBorder="1" applyAlignment="1">
      <alignment horizontal="left" vertical="center"/>
    </xf>
    <xf numFmtId="0" fontId="56"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0" fontId="99" fillId="0" borderId="1" xfId="0" applyFont="1" applyBorder="1" applyAlignment="1">
      <alignment horizontal="left" vertical="center"/>
    </xf>
    <xf numFmtId="179" fontId="108" fillId="0" borderId="1" xfId="0" applyNumberFormat="1" applyFont="1" applyFill="1" applyBorder="1" applyAlignment="1">
      <alignment horizontal="left" vertical="center"/>
    </xf>
    <xf numFmtId="0" fontId="100" fillId="0" borderId="1" xfId="0" applyFont="1" applyBorder="1" applyAlignment="1">
      <alignment horizontal="left" vertical="center"/>
    </xf>
    <xf numFmtId="2" fontId="0" fillId="0" borderId="1" xfId="0" applyNumberFormat="1" applyBorder="1" applyAlignment="1">
      <alignment horizontal="left" vertical="center"/>
    </xf>
    <xf numFmtId="179" fontId="100" fillId="0" borderId="1" xfId="0" applyNumberFormat="1" applyFont="1" applyBorder="1" applyAlignment="1">
      <alignment horizontal="left" vertical="center"/>
    </xf>
    <xf numFmtId="177" fontId="57" fillId="3" borderId="0" xfId="0" applyNumberFormat="1" applyFont="1" applyFill="1" applyAlignment="1" applyProtection="1">
      <alignment vertical="center"/>
      <protection locked="0"/>
    </xf>
    <xf numFmtId="0" fontId="0" fillId="0" borderId="0" xfId="0">
      <alignment vertical="center"/>
    </xf>
    <xf numFmtId="0" fontId="0" fillId="0" borderId="0" xfId="0" applyFill="1" applyBorder="1">
      <alignment vertical="center"/>
    </xf>
    <xf numFmtId="0" fontId="99" fillId="0" borderId="0" xfId="0" applyFont="1" applyFill="1" applyBorder="1">
      <alignment vertical="center"/>
    </xf>
    <xf numFmtId="178" fontId="108" fillId="0" borderId="1" xfId="0" applyNumberFormat="1" applyFont="1" applyFill="1" applyBorder="1" applyAlignment="1">
      <alignment horizontal="left" vertical="center"/>
    </xf>
    <xf numFmtId="179" fontId="99" fillId="0" borderId="0" xfId="0" applyNumberFormat="1" applyFont="1">
      <alignment vertical="center"/>
    </xf>
    <xf numFmtId="182" fontId="0" fillId="0" borderId="0" xfId="0" applyNumberFormat="1">
      <alignment vertical="center"/>
    </xf>
    <xf numFmtId="177"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0" xfId="0">
      <alignment vertical="center"/>
    </xf>
    <xf numFmtId="0" fontId="254" fillId="0" borderId="0" xfId="0" applyFont="1" applyAlignment="1">
      <alignment horizontal="center" vertical="center"/>
    </xf>
    <xf numFmtId="0" fontId="144" fillId="0" borderId="0" xfId="0" applyFont="1" applyAlignment="1">
      <alignment horizontal="left" vertical="center"/>
    </xf>
    <xf numFmtId="0" fontId="99" fillId="0" borderId="1" xfId="0" applyFont="1" applyBorder="1" applyAlignment="1">
      <alignment horizontal="left" vertical="center" wrapText="1"/>
    </xf>
    <xf numFmtId="0" fontId="0" fillId="0" borderId="1" xfId="0" applyBorder="1" applyAlignment="1">
      <alignment horizontal="left" vertical="center" wrapText="1"/>
    </xf>
    <xf numFmtId="182" fontId="0" fillId="0" borderId="0" xfId="0" applyNumberFormat="1" applyAlignment="1">
      <alignment horizontal="center" vertical="center"/>
    </xf>
    <xf numFmtId="49" fontId="84" fillId="0" borderId="1" xfId="0" applyNumberFormat="1" applyFont="1" applyFill="1" applyBorder="1" applyAlignment="1">
      <alignment horizontal="left"/>
    </xf>
    <xf numFmtId="49" fontId="57" fillId="0" borderId="1" xfId="0" applyNumberFormat="1" applyFont="1" applyFill="1" applyBorder="1" applyAlignment="1">
      <alignment horizontal="left"/>
    </xf>
    <xf numFmtId="0" fontId="108" fillId="0" borderId="1" xfId="0" applyFont="1" applyFill="1" applyBorder="1" applyAlignment="1">
      <alignment horizontal="left" vertical="center"/>
    </xf>
    <xf numFmtId="49" fontId="57" fillId="0" borderId="1" xfId="0" applyNumberFormat="1" applyFont="1" applyFill="1" applyBorder="1" applyAlignment="1">
      <alignment horizontal="left" vertical="center"/>
    </xf>
    <xf numFmtId="0" fontId="108" fillId="0" borderId="5" xfId="0" applyFont="1" applyFill="1" applyBorder="1" applyAlignment="1">
      <alignment horizontal="center" vertical="center"/>
    </xf>
    <xf numFmtId="0" fontId="108" fillId="0" borderId="3" xfId="0" applyFont="1" applyFill="1" applyBorder="1" applyAlignment="1">
      <alignment horizontal="center" vertical="center"/>
    </xf>
    <xf numFmtId="49" fontId="84" fillId="0" borderId="5" xfId="0" applyNumberFormat="1" applyFont="1" applyFill="1" applyBorder="1" applyAlignment="1">
      <alignment horizontal="center"/>
    </xf>
    <xf numFmtId="49" fontId="84" fillId="0" borderId="3" xfId="0" applyNumberFormat="1" applyFont="1" applyFill="1" applyBorder="1" applyAlignment="1">
      <alignment horizont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98" fillId="0" borderId="3"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79" fontId="47" fillId="6" borderId="28" xfId="0" applyNumberFormat="1" applyFont="1" applyFill="1" applyBorder="1" applyAlignment="1" applyProtection="1">
      <alignment horizontal="righ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819401</xdr:colOff>
      <xdr:row>35</xdr:row>
      <xdr:rowOff>95250</xdr:rowOff>
    </xdr:from>
    <xdr:to>
      <xdr:col>10</xdr:col>
      <xdr:colOff>284281</xdr:colOff>
      <xdr:row>59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9101" y="7667625"/>
          <a:ext cx="5398955" cy="4076700"/>
        </a:xfrm>
        <a:prstGeom prst="rect">
          <a:avLst/>
        </a:prstGeom>
      </xdr:spPr>
    </xdr:pic>
    <xdr:clientData/>
  </xdr:twoCellAnchor>
  <xdr:twoCellAnchor editAs="oneCell">
    <xdr:from>
      <xdr:col>0</xdr:col>
      <xdr:colOff>19049</xdr:colOff>
      <xdr:row>31</xdr:row>
      <xdr:rowOff>38100</xdr:rowOff>
    </xdr:from>
    <xdr:to>
      <xdr:col>3</xdr:col>
      <xdr:colOff>428625</xdr:colOff>
      <xdr:row>65</xdr:row>
      <xdr:rowOff>143861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49" y="6924675"/>
          <a:ext cx="5629276" cy="5935061"/>
        </a:xfrm>
        <a:prstGeom prst="rect">
          <a:avLst/>
        </a:prstGeom>
      </xdr:spPr>
    </xdr:pic>
    <xdr:clientData/>
  </xdr:twoCellAnchor>
  <xdr:twoCellAnchor editAs="oneCell">
    <xdr:from>
      <xdr:col>0</xdr:col>
      <xdr:colOff>1</xdr:colOff>
      <xdr:row>62</xdr:row>
      <xdr:rowOff>1</xdr:rowOff>
    </xdr:from>
    <xdr:to>
      <xdr:col>3</xdr:col>
      <xdr:colOff>952500</xdr:colOff>
      <xdr:row>91</xdr:row>
      <xdr:rowOff>99149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2201526"/>
          <a:ext cx="6172199" cy="5071198"/>
        </a:xfrm>
        <a:prstGeom prst="rect">
          <a:avLst/>
        </a:prstGeom>
      </xdr:spPr>
    </xdr:pic>
    <xdr:clientData/>
  </xdr:twoCellAnchor>
  <xdr:twoCellAnchor editAs="oneCell">
    <xdr:from>
      <xdr:col>0</xdr:col>
      <xdr:colOff>0</xdr:colOff>
      <xdr:row>92</xdr:row>
      <xdr:rowOff>19050</xdr:rowOff>
    </xdr:from>
    <xdr:to>
      <xdr:col>3</xdr:col>
      <xdr:colOff>962024</xdr:colOff>
      <xdr:row>122</xdr:row>
      <xdr:rowOff>133237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364075"/>
          <a:ext cx="6181724" cy="5257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32020</xdr:colOff>
      <xdr:row>0</xdr:row>
      <xdr:rowOff>142876</xdr:rowOff>
    </xdr:from>
    <xdr:to>
      <xdr:col>9</xdr:col>
      <xdr:colOff>438151</xdr:colOff>
      <xdr:row>20</xdr:row>
      <xdr:rowOff>46974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6470" y="142876"/>
          <a:ext cx="3311256" cy="3333098"/>
        </a:xfrm>
        <a:prstGeom prst="rect">
          <a:avLst/>
        </a:prstGeom>
      </xdr:spPr>
    </xdr:pic>
    <xdr:clientData/>
  </xdr:twoCellAnchor>
  <xdr:twoCellAnchor editAs="oneCell">
    <xdr:from>
      <xdr:col>10</xdr:col>
      <xdr:colOff>19049</xdr:colOff>
      <xdr:row>1</xdr:row>
      <xdr:rowOff>1</xdr:rowOff>
    </xdr:from>
    <xdr:to>
      <xdr:col>15</xdr:col>
      <xdr:colOff>180892</xdr:colOff>
      <xdr:row>20</xdr:row>
      <xdr:rowOff>38101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499" y="171451"/>
          <a:ext cx="3590843" cy="3295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武汉市东西湖区A地块出让国有建设用地使用权及在建建筑物房地产抵押价值预评估</v>
      </c>
    </row>
    <row r="3" spans="1:2" s="1593" customFormat="1">
      <c r="A3" s="1591" t="s">
        <v>1217</v>
      </c>
      <c r="B3" s="1592">
        <f>'预评函-封皮'!B40</f>
        <v>0</v>
      </c>
    </row>
    <row r="4" spans="1:2" s="1593" customFormat="1">
      <c r="A4" s="1591" t="s">
        <v>1218</v>
      </c>
      <c r="B4" s="1592" t="str">
        <f ca="1">'预评函-封皮'!B46</f>
        <v>王鹏（注册号：1120050019)、郑燚（注册号：1120070131)</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受贵公司委托，我公司对武汉市东西湖区A地块出让国有建设用地使用权及在建建筑物房地产抵押价值进行了预评估。</v>
      </c>
    </row>
    <row r="7" spans="1:2" s="1593" customFormat="1">
      <c r="A7" s="1591" t="s">
        <v>1260</v>
      </c>
      <c r="B7" s="1592" t="str">
        <f>'预评函-1'!A7</f>
        <v>估价对象为武汉市东西湖区A地块出让国有建设用地使用权及在建建筑物房地产，为所有。根据，估价对象（分摊）出让国有建设用地使用权面积为16576.98平方米，建筑面积为55474.46平方米。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2019年9月16日（评估专业人员实地查勘之日）</v>
      </c>
    </row>
    <row r="13" spans="1:2" s="1593" customFormat="1">
      <c r="A13" s="1591" t="s">
        <v>1223</v>
      </c>
      <c r="B13" s="1592" t="str">
        <f>'预评函-1'!A18</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6.2" thickBot="1">
      <c r="A18" s="1594" t="s">
        <v>1228</v>
      </c>
      <c r="B18" s="1595" t="str">
        <f>'预评函-1'!A24</f>
        <v>本次评估采用的主估价方法为成本法和假设开发法。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54479</v>
      </c>
    </row>
    <row r="21" spans="1:2" s="1593" customFormat="1">
      <c r="A21" s="1591" t="s">
        <v>1231</v>
      </c>
      <c r="B21" s="1592">
        <f ca="1">'预评函-2'!D7</f>
        <v>10023</v>
      </c>
    </row>
    <row r="22" spans="1:2" s="1593" customFormat="1">
      <c r="A22" s="1591" t="s">
        <v>1232</v>
      </c>
      <c r="B22" s="1592" t="str">
        <f ca="1">'预评函-2'!D6</f>
        <v>伍亿肆仟肆佰柒拾玖万元整</v>
      </c>
    </row>
    <row r="23" spans="1:2" s="1593" customFormat="1">
      <c r="A23" s="1591" t="s">
        <v>1283</v>
      </c>
      <c r="B23" s="1592" t="str">
        <f>'预评函-2'!B8</f>
        <v>2.估价师知悉的法定优先受偿款</v>
      </c>
    </row>
    <row r="24" spans="1:2" s="1593" customFormat="1">
      <c r="A24" s="1591" t="s">
        <v>1289</v>
      </c>
      <c r="B24" s="1592">
        <f>'预评函-2'!D8</f>
        <v>409.62</v>
      </c>
    </row>
    <row r="25" spans="1:2" s="1593" customFormat="1">
      <c r="A25" s="1591" t="s">
        <v>1233</v>
      </c>
      <c r="B25" s="1592" t="str">
        <f>'预评函-2'!D9</f>
        <v>肆佰零玖万陆仟贰佰元整</v>
      </c>
    </row>
    <row r="26" spans="1:2" s="1593" customFormat="1">
      <c r="A26" s="1591" t="s">
        <v>1234</v>
      </c>
      <c r="B26" s="1592">
        <f>'预评函-2'!D10</f>
        <v>0</v>
      </c>
    </row>
    <row r="27" spans="1:2" s="1593" customFormat="1">
      <c r="A27" s="1591" t="s">
        <v>1235</v>
      </c>
      <c r="B27" s="1592">
        <f>'预评函-2'!D11</f>
        <v>409.62</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54069.38</v>
      </c>
    </row>
    <row r="31" spans="1:2" s="1593" customFormat="1">
      <c r="A31" s="1591" t="s">
        <v>1270</v>
      </c>
      <c r="B31" s="1592">
        <f ca="1">'预评函-2'!D15</f>
        <v>9747</v>
      </c>
    </row>
    <row r="32" spans="1:2" s="1593" customFormat="1">
      <c r="A32" s="1591" t="s">
        <v>1237</v>
      </c>
      <c r="B32" s="1592" t="str">
        <f ca="1">'预评函-2'!D14</f>
        <v>伍亿肆仟零陆拾玖万叁仟捌佰元整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武汉市东西湖区A地块出让国有建设用地使用权及在建建筑物房地产</v>
      </c>
    </row>
    <row r="42" spans="1:2" s="1593" customFormat="1" ht="31.2">
      <c r="A42" s="1591" t="s">
        <v>1284</v>
      </c>
      <c r="B42" s="1592" t="str">
        <f>'预评函-3'!B2</f>
        <v>建筑面积</v>
      </c>
    </row>
    <row r="43" spans="1:2" s="1593" customFormat="1">
      <c r="A43" s="1591" t="s">
        <v>1285</v>
      </c>
      <c r="B43" s="1592">
        <f>'预评函-3'!B4</f>
        <v>55474.460000000014</v>
      </c>
    </row>
    <row r="44" spans="1:2" s="1593" customFormat="1" ht="31.2">
      <c r="A44" s="1591" t="s">
        <v>1269</v>
      </c>
      <c r="B44" s="1592" t="str">
        <f>'预评函-3'!C2</f>
        <v>(分摊)土地面积</v>
      </c>
    </row>
    <row r="45" spans="1:2" s="1593" customFormat="1">
      <c r="A45" s="1591" t="s">
        <v>1241</v>
      </c>
      <c r="B45" s="1592">
        <f>'预评函-3'!C4</f>
        <v>16576.98</v>
      </c>
    </row>
    <row r="46" spans="1:2" s="1593" customFormat="1">
      <c r="A46" s="1591" t="s">
        <v>1267</v>
      </c>
      <c r="B46" s="1592" t="str">
        <f>'预评函-3'!D2</f>
        <v>出让国有建设用地使用权价值</v>
      </c>
    </row>
    <row r="47" spans="1:2" s="1593" customFormat="1">
      <c r="A47" s="1591" t="s">
        <v>1242</v>
      </c>
      <c r="B47" s="1592">
        <f ca="1">'预评函-3'!D4</f>
        <v>38569</v>
      </c>
    </row>
    <row r="48" spans="1:2" s="1593" customFormat="1">
      <c r="A48" s="1591" t="s">
        <v>1243</v>
      </c>
      <c r="B48" s="1592">
        <f ca="1">'预评函-3'!E4</f>
        <v>7096</v>
      </c>
    </row>
    <row r="49" spans="1:2" s="1593" customFormat="1">
      <c r="A49" s="1591" t="s">
        <v>1244</v>
      </c>
      <c r="B49" s="1592" t="str">
        <f ca="1">'预评函-3'!D5</f>
        <v>叁亿捌仟伍佰陆拾玖万元整</v>
      </c>
    </row>
    <row r="50" spans="1:2" s="1593" customFormat="1">
      <c r="A50" s="1591" t="s">
        <v>1268</v>
      </c>
      <c r="B50" s="1592" t="str">
        <f>'预评函-3'!F2</f>
        <v>在建建筑物价值</v>
      </c>
    </row>
    <row r="51" spans="1:2" s="1593" customFormat="1">
      <c r="A51" s="1591" t="s">
        <v>1245</v>
      </c>
      <c r="B51" s="1592">
        <f ca="1">'预评函-3'!F4</f>
        <v>15909</v>
      </c>
    </row>
    <row r="52" spans="1:2" s="1593" customFormat="1">
      <c r="A52" s="1591" t="s">
        <v>1246</v>
      </c>
      <c r="B52" s="1592">
        <f ca="1">'预评函-3'!G4</f>
        <v>2927</v>
      </c>
    </row>
    <row r="53" spans="1:2" s="1593" customFormat="1">
      <c r="A53" s="1591" t="s">
        <v>1274</v>
      </c>
      <c r="B53" s="1592" t="str">
        <f ca="1">'预评函-3'!F5</f>
        <v>壹亿伍仟玖佰零玖万元整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故，本次评估估价师知悉的法定优先受偿款为人民币409.62万元整。</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6.2" thickBot="1">
      <c r="A73" s="1594" t="s">
        <v>1259</v>
      </c>
      <c r="B73" s="1595">
        <f ca="1">'预评函-4'!B5</f>
        <v>1120070131</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3249</v>
      </c>
      <c r="C18" s="2014"/>
    </row>
    <row r="19" spans="1:3">
      <c r="A19" s="2013" t="s">
        <v>1763</v>
      </c>
      <c r="B19" s="2013" t="s">
        <v>3251</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120"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0"/>
      <c r="B54" s="2021" t="s">
        <v>861</v>
      </c>
      <c r="C54" s="2018" t="s">
        <v>1277</v>
      </c>
    </row>
    <row r="55" spans="1:4">
      <c r="A55" s="3120"/>
      <c r="B55" s="2021" t="s">
        <v>862</v>
      </c>
      <c r="C55" s="2018" t="s">
        <v>1278</v>
      </c>
    </row>
    <row r="56" spans="1:4">
      <c r="A56" s="3120"/>
      <c r="B56" s="2021" t="s">
        <v>863</v>
      </c>
      <c r="C56" s="2018" t="s">
        <v>1282</v>
      </c>
    </row>
    <row r="57" spans="1:4">
      <c r="A57" s="3120"/>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121" t="str">
        <f>IF(B10="北京市","北京市",C10)&amp;F10&amp;IF(结果表!G1="在建","出让国有建设用地使用权及在建建筑物",IF(结果表!G1="土地","出让国有建设用地使用权",))&amp;B9&amp;"预评估"</f>
        <v>武汉市东西湖区A地块出让国有建设用地使用权及在建建筑物房地产抵押价值预评估</v>
      </c>
      <c r="C1" s="3122"/>
      <c r="D1" s="3122"/>
      <c r="E1" s="3122"/>
      <c r="F1" s="3122"/>
      <c r="G1" s="3122"/>
      <c r="H1" s="3122"/>
      <c r="I1" s="312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武汉市东西湖区A地块出让国有建设用地使用权及在建建筑物房地产抵押价值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武汉市东西湖区A地块出让国有建设用地使用权及在建建筑物房地产</v>
      </c>
    </row>
    <row r="3" spans="1:19" ht="18" customHeight="1">
      <c r="A3" s="2034" t="s">
        <v>1773</v>
      </c>
      <c r="B3" s="2035">
        <f>D3</f>
        <v>43724</v>
      </c>
      <c r="C3" s="2036" t="s">
        <v>1774</v>
      </c>
      <c r="D3" s="2035">
        <v>43724</v>
      </c>
      <c r="E3" s="2025"/>
      <c r="F3" s="2025"/>
      <c r="G3" s="2025"/>
      <c r="H3" s="2025"/>
      <c r="I3" s="2025"/>
      <c r="J3" s="2025"/>
      <c r="K3" s="2026"/>
      <c r="L3" s="2027"/>
      <c r="M3" s="2027"/>
      <c r="N3" s="2028"/>
      <c r="O3" s="2029"/>
      <c r="P3" s="2028"/>
      <c r="Q3" s="2028"/>
      <c r="R3" s="2028"/>
      <c r="S3" s="2030"/>
    </row>
    <row r="4" spans="1:19" ht="18" customHeight="1" thickBot="1">
      <c r="A4" s="2037" t="s">
        <v>1775</v>
      </c>
      <c r="B4" s="2038" t="s">
        <v>3047</v>
      </c>
      <c r="C4" s="1037">
        <f ca="1">SUMIF(注册房地产估价师,B4,估价师及机构信息!B3:B24)</f>
        <v>1120050019</v>
      </c>
      <c r="D4" s="2038" t="s">
        <v>3043</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3041</v>
      </c>
      <c r="C8" s="2055"/>
      <c r="D8" s="3124" t="s">
        <v>1780</v>
      </c>
      <c r="E8" s="2056" t="s">
        <v>3042</v>
      </c>
      <c r="F8" s="2057"/>
      <c r="G8" s="2025"/>
      <c r="H8" s="2025"/>
      <c r="I8" s="2025"/>
      <c r="J8" s="2041"/>
      <c r="K8" s="2042"/>
      <c r="L8" s="2027"/>
      <c r="M8" s="2027"/>
      <c r="N8" s="2028"/>
      <c r="O8" s="2029"/>
      <c r="P8" s="2028"/>
      <c r="Q8" s="2028"/>
      <c r="R8" s="2028"/>
    </row>
    <row r="9" spans="1:19" ht="18" customHeight="1" thickBot="1">
      <c r="A9" s="2039" t="s">
        <v>1781</v>
      </c>
      <c r="B9" s="2058" t="s">
        <v>3042</v>
      </c>
      <c r="C9" s="2059"/>
      <c r="D9" s="3125"/>
      <c r="E9" s="2058" t="s">
        <v>70</v>
      </c>
      <c r="F9" s="2060"/>
      <c r="G9" s="2061"/>
      <c r="H9" s="2061"/>
      <c r="I9" s="2061"/>
      <c r="J9" s="2041"/>
      <c r="K9" s="2053"/>
      <c r="L9" s="2027"/>
      <c r="M9" s="2027"/>
      <c r="N9" s="2028"/>
      <c r="O9" s="2029"/>
      <c r="P9" s="2028"/>
      <c r="Q9" s="2028"/>
      <c r="R9" s="2028"/>
    </row>
    <row r="10" spans="1:19" ht="18" customHeight="1" thickTop="1">
      <c r="A10" s="2062" t="s">
        <v>1782</v>
      </c>
      <c r="B10" s="2063" t="s">
        <v>3044</v>
      </c>
      <c r="C10" s="3016" t="s">
        <v>3263</v>
      </c>
      <c r="D10" s="2046"/>
      <c r="E10" s="2064" t="s">
        <v>1783</v>
      </c>
      <c r="F10" s="3017" t="s">
        <v>3264</v>
      </c>
      <c r="G10" s="2065"/>
      <c r="H10" s="2066"/>
      <c r="I10" s="2046"/>
      <c r="J10" s="2041"/>
      <c r="K10" s="2053"/>
      <c r="L10" s="2027"/>
      <c r="M10" s="2027"/>
      <c r="N10" s="2028"/>
      <c r="O10" s="2029"/>
      <c r="P10" s="2028"/>
      <c r="Q10" s="2028"/>
      <c r="R10" s="2028"/>
    </row>
    <row r="11" spans="1:19" ht="18" customHeight="1">
      <c r="A11" s="2067" t="s">
        <v>1784</v>
      </c>
      <c r="B11" s="2068" t="s">
        <v>3045</v>
      </c>
      <c r="C11" s="2069"/>
      <c r="D11" s="2070"/>
      <c r="E11" s="2041"/>
      <c r="F11" s="2041"/>
      <c r="G11" s="2041"/>
      <c r="H11" s="2041"/>
      <c r="I11" s="2041"/>
      <c r="J11" s="2041"/>
      <c r="K11" s="2053"/>
      <c r="L11" s="2027"/>
      <c r="M11" s="2027"/>
      <c r="N11" s="2028"/>
      <c r="O11" s="2029"/>
      <c r="P11" s="2028"/>
      <c r="Q11" s="2028"/>
      <c r="R11" s="2028"/>
    </row>
    <row r="12" spans="1:19" ht="18" customHeight="1">
      <c r="A12" s="2071" t="s">
        <v>1785</v>
      </c>
      <c r="B12" s="2068" t="s">
        <v>3046</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v>69053</v>
      </c>
      <c r="E13" s="2077">
        <v>58095</v>
      </c>
      <c r="F13" s="2077"/>
      <c r="G13" s="2077"/>
      <c r="H13" s="2077"/>
      <c r="I13" s="1047"/>
      <c r="J13" s="2041"/>
      <c r="K13" s="2053"/>
      <c r="L13" s="2027"/>
      <c r="M13" s="2027"/>
      <c r="N13" s="2028"/>
      <c r="O13" s="2029"/>
      <c r="P13" s="2028"/>
      <c r="Q13" s="2028"/>
      <c r="R13" s="2028"/>
    </row>
    <row r="14" spans="1:19" ht="18" customHeight="1">
      <c r="A14" s="2074"/>
      <c r="B14" s="2075"/>
      <c r="C14" s="2076" t="s">
        <v>1794</v>
      </c>
      <c r="D14" s="1050">
        <v>70</v>
      </c>
      <c r="E14" s="1050">
        <v>40</v>
      </c>
      <c r="F14" s="1050"/>
      <c r="G14" s="1050"/>
      <c r="H14" s="1050"/>
      <c r="I14" s="1050"/>
      <c r="J14" s="2041"/>
      <c r="K14" s="2078"/>
      <c r="L14" s="2027"/>
      <c r="M14" s="2027"/>
      <c r="N14" s="2028"/>
      <c r="O14" s="2029"/>
      <c r="P14" s="2028"/>
      <c r="Q14" s="2028"/>
      <c r="R14" s="2028"/>
    </row>
    <row r="15" spans="1:19" ht="18" customHeight="1">
      <c r="A15" s="2062"/>
      <c r="B15" s="2079"/>
      <c r="C15" s="2076" t="s">
        <v>1795</v>
      </c>
      <c r="D15" s="1049">
        <f>IF(B12="出让",IF(D13="","",ROUNDDOWN(MIN((D13-$D$3)/365,D14),2)),D14)</f>
        <v>69.39</v>
      </c>
      <c r="E15" s="1049">
        <f>IF(B12="出让",IF(E13="","",ROUNDDOWN(MIN((E13-$D$3)/365,E14),2)),E14)</f>
        <v>39.369999999999997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131"/>
      <c r="C16" s="3132"/>
      <c r="D16" s="3133"/>
      <c r="E16" s="2083" t="s">
        <v>1797</v>
      </c>
      <c r="F16" s="3134"/>
      <c r="G16" s="3135"/>
      <c r="H16" s="3135"/>
      <c r="I16" s="3136"/>
      <c r="J16" s="2028"/>
      <c r="K16" s="2080"/>
      <c r="L16" s="2081"/>
      <c r="M16" s="2081"/>
      <c r="N16" s="2082"/>
      <c r="O16" s="2081"/>
      <c r="P16" s="2082"/>
      <c r="Q16" s="2028"/>
      <c r="R16" s="2028"/>
    </row>
    <row r="17" spans="1:22" ht="18" customHeight="1">
      <c r="A17" s="2084" t="s">
        <v>1798</v>
      </c>
      <c r="B17" s="2034" t="s">
        <v>1799</v>
      </c>
      <c r="C17" s="1054">
        <f>'数据-汇总表'!E3</f>
        <v>55474.460000000014</v>
      </c>
      <c r="D17" s="2085" t="s">
        <v>1800</v>
      </c>
      <c r="E17" s="3137"/>
      <c r="F17" s="3138"/>
      <c r="G17" s="3138"/>
      <c r="H17" s="3138"/>
      <c r="I17" s="3139"/>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16576.98</v>
      </c>
      <c r="D18" s="2088" t="s">
        <v>1800</v>
      </c>
      <c r="E18" s="3140"/>
      <c r="F18" s="3141"/>
      <c r="G18" s="3141"/>
      <c r="H18" s="3141"/>
      <c r="I18" s="3142"/>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3048</v>
      </c>
      <c r="D19" s="2090" t="s">
        <v>1805</v>
      </c>
      <c r="E19" s="2091" t="s">
        <v>3255</v>
      </c>
      <c r="F19" s="2092" t="str">
        <f>IF(AND(C19="是",E19="否"),"是否提供他项权证或相关说明","")</f>
        <v>是否提供他项权证或相关说明</v>
      </c>
      <c r="G19" s="2093"/>
      <c r="H19" s="2041"/>
      <c r="I19" s="2041"/>
      <c r="J19" s="2041"/>
      <c r="K19" s="2053"/>
      <c r="L19" s="2027"/>
      <c r="M19" s="2027"/>
      <c r="N19" s="2082"/>
      <c r="O19" s="2081"/>
      <c r="P19" s="2082"/>
      <c r="Q19" s="2028"/>
      <c r="R19" s="2028"/>
      <c r="S19" s="2028"/>
      <c r="T19" s="2028"/>
      <c r="U19" s="2028"/>
      <c r="V19" s="2028"/>
    </row>
    <row r="20" spans="1:22" ht="18" customHeight="1">
      <c r="A20" s="2094" t="s">
        <v>1806</v>
      </c>
      <c r="B20" s="3127" t="s">
        <v>1807</v>
      </c>
      <c r="C20" s="3128"/>
      <c r="D20" s="3129" t="s">
        <v>1808</v>
      </c>
      <c r="E20" s="3130"/>
      <c r="F20" s="2095" t="s">
        <v>1809</v>
      </c>
      <c r="G20" s="2041"/>
      <c r="H20" s="2041"/>
      <c r="I20" s="2041"/>
      <c r="J20" s="2041"/>
      <c r="K20" s="3126"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1811</v>
      </c>
      <c r="C21" s="2097" t="s">
        <v>70</v>
      </c>
      <c r="D21" s="2098" t="s">
        <v>1812</v>
      </c>
      <c r="E21" s="2099" t="s">
        <v>70</v>
      </c>
      <c r="F21" s="2100"/>
      <c r="G21" s="2041"/>
      <c r="H21" s="2041"/>
      <c r="I21" s="2041"/>
      <c r="J21" s="2041"/>
      <c r="K21" s="31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1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3" t="s">
        <v>1816</v>
      </c>
      <c r="C23" s="2104"/>
      <c r="D23" s="2105" t="s">
        <v>1816</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1817</v>
      </c>
      <c r="C24" s="2109"/>
      <c r="D24" s="2103" t="s">
        <v>1817</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1818</v>
      </c>
      <c r="C25" s="2109"/>
      <c r="D25" s="2103" t="s">
        <v>1818</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144" t="s">
        <v>1821</v>
      </c>
      <c r="B27" s="2062" t="s">
        <v>1822</v>
      </c>
      <c r="C27" s="2117" t="s">
        <v>3256</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44"/>
      <c r="B28" s="2034" t="s">
        <v>1823</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44"/>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45"/>
      <c r="B30" s="2034" t="s">
        <v>1825</v>
      </c>
      <c r="C30" s="3146"/>
      <c r="D30" s="3147"/>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48" t="s">
        <v>1826</v>
      </c>
      <c r="B31" s="2124"/>
      <c r="C31" s="2125" t="str">
        <f>IF(B31="现房","成新及维护状况正常否",IF(B31="在建","工程状态是否正常",IF(B31="土地","是否闲置","-")))</f>
        <v>-</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149"/>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149"/>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1" t="s">
        <v>3257</v>
      </c>
      <c r="C34" s="2131" t="s">
        <v>3258</v>
      </c>
      <c r="D34" s="2131" t="s">
        <v>3259</v>
      </c>
      <c r="E34" s="2131" t="s">
        <v>3260</v>
      </c>
      <c r="F34" s="2131" t="s">
        <v>3261</v>
      </c>
      <c r="G34" s="2131" t="s">
        <v>3262</v>
      </c>
      <c r="H34" s="2131"/>
      <c r="I34" s="2041"/>
      <c r="J34" s="2041"/>
      <c r="K34" s="1795">
        <f>COUNTIF(B34:H34,"——")</f>
        <v>0</v>
      </c>
      <c r="L34" s="2072" t="s">
        <v>1828</v>
      </c>
      <c r="M34" s="2072" t="s">
        <v>1829</v>
      </c>
      <c r="N34" s="2072" t="s">
        <v>1830</v>
      </c>
      <c r="O34" s="2072" t="s">
        <v>1831</v>
      </c>
      <c r="P34" s="2072" t="s">
        <v>1832</v>
      </c>
      <c r="Q34" s="2072" t="s">
        <v>1833</v>
      </c>
      <c r="R34" s="2072" t="s">
        <v>1834</v>
      </c>
      <c r="S34" s="3143" t="s">
        <v>1835</v>
      </c>
      <c r="T34" s="2132" t="str">
        <f>NUMBERSTRING(7-K34,1)&amp;"通"</f>
        <v>七通</v>
      </c>
      <c r="U34" s="2028"/>
      <c r="V34" s="2028"/>
    </row>
    <row r="35" spans="1:22" ht="18" customHeight="1">
      <c r="A35" s="2133"/>
      <c r="B35" s="3150" t="s">
        <v>1836</v>
      </c>
      <c r="C35" s="3150"/>
      <c r="D35" s="3150"/>
      <c r="E35" s="3150"/>
      <c r="F35" s="2134" t="str">
        <f>C10</f>
        <v>武汉市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43"/>
      <c r="T35" s="48" t="str">
        <f>IF(T34="一通",L35,IF(T34="二通",M35,IF(T34="三通",N35,IF(T34="四通",O35,IF(T34="五通",P35,IF(T34="六通",Q35,R35))))))</f>
        <v>通路、通电、通讯、通上水、通下水、燃气、</v>
      </c>
      <c r="U35" s="2028"/>
      <c r="V35" s="2028"/>
    </row>
    <row r="36" spans="1:22" ht="18" customHeight="1">
      <c r="A36" s="2135"/>
      <c r="B36" s="2134" t="s">
        <v>1837</v>
      </c>
      <c r="C36" s="2134" t="s">
        <v>1838</v>
      </c>
      <c r="D36" s="2134" t="s">
        <v>1839</v>
      </c>
      <c r="E36" s="2134" t="s">
        <v>1840</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1841</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1842</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3" sqref="F23"/>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f>权属!J30</f>
        <v>16576.98</v>
      </c>
      <c r="B3" s="14">
        <f>IF(C3="否",G5-AT5,G5)</f>
        <v>55474.460000000014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1872</v>
      </c>
      <c r="B5" s="1803"/>
      <c r="C5" s="1803"/>
      <c r="D5" s="1806"/>
      <c r="E5" s="16" t="s">
        <v>1</v>
      </c>
      <c r="F5" s="16">
        <f>SUM(F13:F587)</f>
        <v>0</v>
      </c>
      <c r="G5" s="16">
        <f>SUM(G13:G587)</f>
        <v>55474.460000000014</v>
      </c>
      <c r="H5" s="16">
        <f t="shared" ref="H5:AT5" si="0">SUM(H13:H656)</f>
        <v>55474.460000000014</v>
      </c>
      <c r="I5" s="16">
        <f t="shared" si="0"/>
        <v>54353.540000000015</v>
      </c>
      <c r="J5" s="16">
        <f t="shared" si="0"/>
        <v>0</v>
      </c>
      <c r="K5" s="16">
        <f t="shared" si="0"/>
        <v>1120.92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55474.460000000014</v>
      </c>
      <c r="BA5" s="18">
        <f t="shared" si="1"/>
        <v>55474.460000000014</v>
      </c>
      <c r="BB5" s="18">
        <f t="shared" si="1"/>
        <v>54353.540000000015</v>
      </c>
      <c r="BC5" s="18">
        <f t="shared" si="1"/>
        <v>1120.92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1873</v>
      </c>
      <c r="B6" s="2172"/>
      <c r="C6" s="2172"/>
      <c r="D6" s="2173"/>
      <c r="E6" s="16">
        <f>H6+AC6+AT6</f>
        <v>16576.98</v>
      </c>
      <c r="F6" s="16" t="s">
        <v>1</v>
      </c>
      <c r="G6" s="16" t="s">
        <v>2</v>
      </c>
      <c r="H6" s="20">
        <f>SUMIF(I$12:AB$12,"总值",I6:AB6)</f>
        <v>16576.98</v>
      </c>
      <c r="I6" s="16">
        <f t="shared" ref="I6:AB6" si="2">ROUND($A$3*I5/$B$3,2)</f>
        <v>16242.02</v>
      </c>
      <c r="J6" s="16">
        <f t="shared" si="2"/>
        <v>0</v>
      </c>
      <c r="K6" s="16">
        <f t="shared" si="2"/>
        <v>334.96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16576.98</v>
      </c>
      <c r="AZ6" s="16" t="s">
        <v>3</v>
      </c>
      <c r="BA6" s="16">
        <f>ROUND($AY$6*BA5/$AZ$5,2)</f>
        <v>16576.98</v>
      </c>
      <c r="BB6" s="16">
        <f>ROUND($AY$6*BB5/$AZ$5,2)</f>
        <v>16242.02</v>
      </c>
      <c r="BC6" s="16">
        <f t="shared" ref="BC6:BH6" si="4">ROUND($AY$6*BC5/$AZ$5,2)</f>
        <v>334.96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3.2">
      <c r="A9" s="2180"/>
      <c r="B9" s="2180"/>
      <c r="C9" s="2180"/>
      <c r="D9" s="2180"/>
      <c r="E9" s="2180"/>
      <c r="F9" s="2180"/>
      <c r="G9" s="1292"/>
      <c r="H9" s="2188" t="s">
        <v>1892</v>
      </c>
      <c r="I9" s="2189" t="s">
        <v>3077</v>
      </c>
      <c r="J9" s="981"/>
      <c r="K9" s="2189" t="s">
        <v>3077</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3.2">
      <c r="A10" s="2180"/>
      <c r="B10" s="2180"/>
      <c r="C10" s="2180"/>
      <c r="D10" s="2180"/>
      <c r="E10" s="2180"/>
      <c r="F10" s="2180"/>
      <c r="G10" s="1292"/>
      <c r="H10" s="28"/>
      <c r="I10" s="2189" t="s">
        <v>3078</v>
      </c>
      <c r="J10" s="981"/>
      <c r="K10" s="2195" t="s">
        <v>1373</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地上</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3.2">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3.2">
      <c r="A13" s="1272"/>
      <c r="B13" s="1272"/>
      <c r="C13" s="1272"/>
      <c r="D13" s="2211" t="s">
        <v>3048</v>
      </c>
      <c r="E13" s="16">
        <f>IF($C$3="是",ROUND($A$3*G13/$B$3,2),ROUND($A$3*(G13-AT13)/$B$3,2))</f>
        <v>16576.98</v>
      </c>
      <c r="F13" s="32"/>
      <c r="G13" s="33">
        <f>H13+AC13+AT13</f>
        <v>55474.460000000014</v>
      </c>
      <c r="H13" s="20">
        <f>SUMIF(I$12:AB$12,"总值",I13:AB13)</f>
        <v>55474.460000000014</v>
      </c>
      <c r="I13" s="2212">
        <f>面积清单!H13</f>
        <v>54353.540000000015</v>
      </c>
      <c r="J13" s="2212"/>
      <c r="K13" s="2212">
        <f>面积清单!I12</f>
        <v>1120.92</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16576.98</v>
      </c>
      <c r="AZ13" s="16">
        <f>BA13+BL13</f>
        <v>55474.460000000014</v>
      </c>
      <c r="BA13" s="16">
        <f>SUM(BB13:BK13)</f>
        <v>55474.460000000014</v>
      </c>
      <c r="BB13" s="16">
        <f>IF($D13="是",I13-J13,0)</f>
        <v>54353.540000000015</v>
      </c>
      <c r="BC13" s="16">
        <f>IF($D13="是",K13-L13,0)</f>
        <v>1120.92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51" t="s">
        <v>0</v>
      </c>
      <c r="B1" s="3151" t="s">
        <v>4</v>
      </c>
      <c r="C1" s="3151" t="s">
        <v>5</v>
      </c>
      <c r="D1" s="3152" t="s">
        <v>53</v>
      </c>
      <c r="E1" s="3152" t="s">
        <v>54</v>
      </c>
      <c r="F1" s="3152"/>
      <c r="G1" s="3152"/>
      <c r="H1" s="3152"/>
      <c r="I1" s="3152"/>
      <c r="J1" s="3152"/>
      <c r="K1" s="3152"/>
      <c r="L1" s="3152"/>
      <c r="M1" s="3152"/>
    </row>
    <row r="2" spans="1:13" ht="27" customHeight="1">
      <c r="A2" s="3151"/>
      <c r="B2" s="3151"/>
      <c r="C2" s="3151"/>
      <c r="D2" s="3152"/>
      <c r="E2" s="3152" t="s">
        <v>37</v>
      </c>
      <c r="F2" s="3152" t="s">
        <v>38</v>
      </c>
      <c r="G2" s="3152"/>
      <c r="H2" s="3152"/>
      <c r="I2" s="3152"/>
      <c r="J2" s="3152" t="s">
        <v>39</v>
      </c>
      <c r="K2" s="3152"/>
      <c r="L2" s="3152"/>
      <c r="M2" s="3152"/>
    </row>
    <row r="3" spans="1:13" ht="46.8">
      <c r="A3" s="3151"/>
      <c r="B3" s="3151"/>
      <c r="C3" s="3151"/>
      <c r="D3" s="3152"/>
      <c r="E3" s="315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2" t="s">
        <v>55</v>
      </c>
      <c r="B9" s="3152"/>
      <c r="C9" s="31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H35" sqref="H35"/>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1931</v>
      </c>
      <c r="B1" s="1392"/>
      <c r="C1" s="1392"/>
      <c r="D1" s="1392"/>
      <c r="E1" s="1392"/>
      <c r="F1" s="1392"/>
      <c r="G1" s="1392"/>
      <c r="H1" s="1392"/>
      <c r="I1" s="1392"/>
      <c r="J1" s="1392"/>
      <c r="K1" s="1392"/>
      <c r="L1" s="1392"/>
      <c r="M1" s="1392"/>
      <c r="N1" s="1392"/>
      <c r="O1" s="1392"/>
      <c r="P1" s="1392"/>
    </row>
    <row r="2" spans="1:16" ht="14.4">
      <c r="A2" s="3162" t="s">
        <v>1932</v>
      </c>
      <c r="B2" s="3162"/>
      <c r="C2" s="3162"/>
      <c r="D2" s="967" t="s">
        <v>1908</v>
      </c>
      <c r="E2" s="2225" t="s">
        <v>1909</v>
      </c>
      <c r="F2" s="1392"/>
      <c r="G2" s="2226"/>
      <c r="H2" s="2227"/>
      <c r="I2" s="2228" t="s">
        <v>1933</v>
      </c>
      <c r="J2" s="1392"/>
      <c r="K2" s="1392"/>
      <c r="L2" s="1392"/>
      <c r="M2" s="1392"/>
      <c r="N2" s="1427"/>
      <c r="O2" s="1392"/>
      <c r="P2" s="1392"/>
    </row>
    <row r="3" spans="1:16" ht="15" thickBot="1">
      <c r="A3" s="3163" t="s">
        <v>1906</v>
      </c>
      <c r="B3" s="3163"/>
      <c r="C3" s="3163"/>
      <c r="D3" s="46">
        <f>'数据-基础表'!AY6</f>
        <v>16576.98</v>
      </c>
      <c r="E3" s="46">
        <f>'数据-基础表'!AZ5</f>
        <v>55474.460000000014</v>
      </c>
      <c r="F3" s="1392"/>
      <c r="G3" s="1399"/>
      <c r="H3" s="1247" t="s">
        <v>1907</v>
      </c>
      <c r="I3" s="55">
        <f>ROUND('数据-基础表'!B3/'数据-基础表'!A3,2)</f>
        <v>3.35</v>
      </c>
      <c r="J3" s="1392"/>
      <c r="K3" s="1392"/>
      <c r="L3" s="1392"/>
      <c r="M3" s="1392"/>
      <c r="N3" s="1427"/>
      <c r="O3" s="1392"/>
      <c r="P3" s="1392"/>
    </row>
    <row r="4" spans="1:16" ht="14.4">
      <c r="A4" s="3164"/>
      <c r="B4" s="3165"/>
      <c r="C4" s="3166"/>
      <c r="D4" s="2229" t="s">
        <v>1908</v>
      </c>
      <c r="E4" s="2230" t="s">
        <v>1909</v>
      </c>
      <c r="F4" s="1392"/>
      <c r="G4" s="2231" t="s">
        <v>1934</v>
      </c>
      <c r="H4" s="1247" t="s">
        <v>1914</v>
      </c>
      <c r="I4" s="55">
        <f>ROUND(SUMIF('数据-基础表'!I9:AS9,"地上",'数据-基础表'!I5:AS5)/'数据-基础表'!A3,2)</f>
        <v>3.35</v>
      </c>
      <c r="J4" s="1392"/>
      <c r="K4" s="1392"/>
      <c r="L4" s="1392"/>
      <c r="M4" s="1392"/>
      <c r="N4" s="1427"/>
      <c r="O4" s="1392"/>
      <c r="P4" s="1392"/>
    </row>
    <row r="5" spans="1:16" ht="14.4">
      <c r="A5" s="47" t="s">
        <v>1910</v>
      </c>
      <c r="B5" s="3167" t="s">
        <v>1911</v>
      </c>
      <c r="C5" s="3167"/>
      <c r="D5" s="48">
        <f>ROUND($D$3*E5/$E$3,2)</f>
        <v>16242.02</v>
      </c>
      <c r="E5" s="49">
        <f>SUMIF('数据-基础表'!$11:$11,"住宅",'数据-基础表'!$5:$5)</f>
        <v>54353.540000000015</v>
      </c>
      <c r="F5" s="1392"/>
      <c r="G5" s="1399"/>
      <c r="H5" s="1247" t="s">
        <v>1907</v>
      </c>
      <c r="I5" s="55">
        <f>ROUND(E31/D31,2)</f>
        <v>3.35</v>
      </c>
      <c r="J5" s="1392"/>
      <c r="K5" s="1392"/>
      <c r="L5" s="1392"/>
      <c r="M5" s="1392"/>
      <c r="N5" s="1392"/>
      <c r="O5" s="1392"/>
      <c r="P5" s="1392"/>
    </row>
    <row r="6" spans="1:16" ht="15" thickBot="1">
      <c r="A6" s="2232"/>
      <c r="B6" s="3167" t="s">
        <v>1912</v>
      </c>
      <c r="C6" s="3167"/>
      <c r="D6" s="48">
        <f>ROUND($D$3*E6/$E$3,2)</f>
        <v>334.96</v>
      </c>
      <c r="E6" s="49">
        <f>E3-E5</f>
        <v>1120.9199999999983</v>
      </c>
      <c r="F6" s="1392"/>
      <c r="G6" s="2233" t="s">
        <v>1913</v>
      </c>
      <c r="H6" s="1399" t="s">
        <v>1914</v>
      </c>
      <c r="I6" s="939">
        <f>ROUND(F31/D31,2)</f>
        <v>3.35</v>
      </c>
      <c r="J6" s="1392"/>
      <c r="K6" s="1392"/>
      <c r="L6" s="1392"/>
      <c r="M6" s="1392"/>
      <c r="N6" s="1392"/>
      <c r="O6" s="1392"/>
      <c r="P6" s="1392"/>
    </row>
    <row r="7" spans="1:16" ht="14.4">
      <c r="A7" s="3159"/>
      <c r="B7" s="3160"/>
      <c r="C7" s="3161"/>
      <c r="D7" s="2229" t="s">
        <v>1908</v>
      </c>
      <c r="E7" s="2234" t="s">
        <v>1915</v>
      </c>
      <c r="F7" s="1392"/>
      <c r="G7" s="2226" t="s">
        <v>1916</v>
      </c>
      <c r="H7" s="64"/>
      <c r="I7" s="420">
        <v>3.35</v>
      </c>
      <c r="J7" s="1392"/>
      <c r="K7" s="1392"/>
      <c r="L7" s="1392"/>
      <c r="M7" s="1392"/>
      <c r="N7" s="1392"/>
      <c r="O7" s="1392"/>
      <c r="P7" s="1392"/>
    </row>
    <row r="8" spans="1:16" ht="14.4">
      <c r="A8" s="47" t="s">
        <v>1917</v>
      </c>
      <c r="B8" s="50" t="s">
        <v>1918</v>
      </c>
      <c r="C8" s="48" t="s">
        <v>1919</v>
      </c>
      <c r="D8" s="48">
        <f t="shared" ref="D8:D15" si="0">ROUND($D$3*E8/$E$3,2)</f>
        <v>16576.98</v>
      </c>
      <c r="E8" s="51">
        <f>SUMIF('数据-基础表'!BB10:BK10,"地上",'数据-基础表'!BB5:BK5)</f>
        <v>55474.460000000014</v>
      </c>
      <c r="F8" s="1392"/>
      <c r="G8" s="2235"/>
      <c r="H8" s="2235"/>
      <c r="I8" s="1392"/>
      <c r="J8" s="1392"/>
      <c r="K8" s="1392"/>
      <c r="L8" s="1392"/>
      <c r="M8" s="1392"/>
      <c r="N8" s="1392"/>
      <c r="O8" s="1392"/>
      <c r="P8" s="1392"/>
    </row>
    <row r="9" spans="1:16" ht="14.4">
      <c r="A9" s="2236"/>
      <c r="B9" s="2237"/>
      <c r="C9" s="48" t="s">
        <v>1920</v>
      </c>
      <c r="D9" s="48">
        <f t="shared" si="0"/>
        <v>0</v>
      </c>
      <c r="E9" s="52">
        <v>0</v>
      </c>
      <c r="F9" s="1392"/>
      <c r="G9" s="2235"/>
      <c r="H9" s="2235"/>
      <c r="I9" s="1392"/>
      <c r="J9" s="1392"/>
      <c r="K9" s="1392"/>
      <c r="L9" s="1392"/>
      <c r="M9" s="1392"/>
      <c r="N9" s="1392"/>
      <c r="O9" s="1392"/>
      <c r="P9" s="1392"/>
    </row>
    <row r="10" spans="1:16" ht="14.4">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ht="14.4">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ht="14.4">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ht="14.4">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ht="14.4">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1924</v>
      </c>
      <c r="D16" s="50">
        <f>SUM(D8:D15)</f>
        <v>16576.98</v>
      </c>
      <c r="E16" s="53">
        <f>SUM(E8:E15)</f>
        <v>55474.460000000014</v>
      </c>
      <c r="F16" s="1392"/>
      <c r="G16" s="2235"/>
      <c r="H16" s="2238" t="s">
        <v>1936</v>
      </c>
      <c r="I16" s="2239"/>
      <c r="J16" s="1392"/>
      <c r="K16" s="3156" t="s">
        <v>1936</v>
      </c>
      <c r="L16" s="3157"/>
      <c r="M16" s="3157"/>
      <c r="N16" s="3157"/>
      <c r="O16" s="3157"/>
      <c r="P16" s="3158"/>
    </row>
    <row r="17" spans="1:19" ht="14.4">
      <c r="A17" s="2240" t="s">
        <v>1937</v>
      </c>
      <c r="B17" s="2241" t="s">
        <v>1938</v>
      </c>
      <c r="C17" s="2242" t="s">
        <v>1939</v>
      </c>
      <c r="D17" s="2243" t="s">
        <v>1927</v>
      </c>
      <c r="E17" s="2244" t="s">
        <v>1928</v>
      </c>
      <c r="F17" s="2245"/>
      <c r="G17" s="2246"/>
      <c r="H17" s="2247" t="s">
        <v>1940</v>
      </c>
      <c r="I17" s="2248" t="s">
        <v>1925</v>
      </c>
      <c r="J17" s="1392"/>
      <c r="K17" s="3153" t="s">
        <v>1941</v>
      </c>
      <c r="L17" s="3154"/>
      <c r="M17" s="3155"/>
      <c r="N17" s="3153" t="s">
        <v>1942</v>
      </c>
      <c r="O17" s="3154"/>
      <c r="P17" s="3155"/>
      <c r="R17" s="2226" t="s">
        <v>1943</v>
      </c>
      <c r="S17" s="64"/>
    </row>
    <row r="18" spans="1:19" ht="14.4">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ht="14.4">
      <c r="A19" s="2257"/>
      <c r="B19" s="50" t="s">
        <v>1926</v>
      </c>
      <c r="C19" s="2958" t="s">
        <v>3079</v>
      </c>
      <c r="D19" s="48">
        <f>ROUND($D$3*E19/$E$3,2)</f>
        <v>16242.02</v>
      </c>
      <c r="E19" s="56">
        <f t="shared" ref="E19:E26" si="1">SUM(F19:G19)</f>
        <v>54353.540000000015</v>
      </c>
      <c r="F19" s="57">
        <f>'数据-基础表'!I13</f>
        <v>54353.540000000015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16242.02</v>
      </c>
      <c r="S19" s="1248">
        <f t="shared" si="5"/>
        <v>54353.540000000015</v>
      </c>
    </row>
    <row r="20" spans="1:19" ht="14.4">
      <c r="A20" s="2261"/>
      <c r="B20" s="50" t="s">
        <v>1954</v>
      </c>
      <c r="C20" s="2958" t="s">
        <v>3233</v>
      </c>
      <c r="D20" s="48">
        <f t="shared" ref="D20:D26" si="6">ROUND($D$3*E20/$E$3,2)</f>
        <v>334.96</v>
      </c>
      <c r="E20" s="56">
        <f t="shared" si="1"/>
        <v>1120.92</v>
      </c>
      <c r="F20" s="57">
        <f>'数据-基础表'!K13</f>
        <v>1120.92</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334.96</v>
      </c>
      <c r="S20" s="1248">
        <f t="shared" si="5"/>
        <v>1120.92</v>
      </c>
    </row>
    <row r="21" spans="1:19" ht="14.4">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ht="14.4">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ht="14.4">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ht="14.4">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ht="14.4">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1955</v>
      </c>
      <c r="D27" s="1393">
        <f>SUM(D19:D26)</f>
        <v>16576.98</v>
      </c>
      <c r="E27" s="1394">
        <f>IF(SUM(E19:E26)='数据-基础表'!BA5,SUM(E19:E26),IF(F27="地上面积有误","面积有误","地下面积有误"))</f>
        <v>55474.460000000014</v>
      </c>
      <c r="F27" s="1393">
        <f>IF(SUM(F19:F26)=E8,SUM(F19:F26),"地上面积有误")</f>
        <v>55474.460000000014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16576.98</v>
      </c>
      <c r="S27" s="1247">
        <f>IF(SUM(S19:S26)=$E$3,SUM(S19:S26),SUM(S19:S26)&amp;"误差"&amp;ROUND(SUM(S19:S26)-E3,2))</f>
        <v>55474.460000000014</v>
      </c>
    </row>
    <row r="28" spans="1:19" ht="14.4">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7"/>
      <c r="B31" s="2268"/>
      <c r="C31" s="1007" t="s">
        <v>1959</v>
      </c>
      <c r="D31" s="729">
        <f>D27+D30</f>
        <v>16576.98</v>
      </c>
      <c r="E31" s="729">
        <f>E27+E30</f>
        <v>55474.460000000014</v>
      </c>
      <c r="F31" s="730">
        <f>F27+F30</f>
        <v>55474.460000000014</v>
      </c>
      <c r="G31" s="731">
        <f>G27+G30</f>
        <v>0</v>
      </c>
      <c r="H31" s="1392"/>
      <c r="I31" s="1392"/>
      <c r="J31" s="1392"/>
      <c r="K31" s="1392"/>
      <c r="L31" s="1392"/>
      <c r="M31" s="1392"/>
      <c r="N31" s="1392"/>
      <c r="O31" s="1392"/>
      <c r="P31" s="1392"/>
    </row>
    <row r="32" spans="1:19" ht="14.4">
      <c r="A32" s="2231"/>
      <c r="B32" s="2231" t="s">
        <v>1960</v>
      </c>
      <c r="C32" s="2231"/>
      <c r="D32" s="2231"/>
      <c r="E32" s="1274">
        <f>SUMIF(C19:C26,"*住宅*",E19:E26)</f>
        <v>54353.540000000015</v>
      </c>
      <c r="F32" s="2231"/>
      <c r="G32" s="2231"/>
      <c r="H32" s="1392"/>
      <c r="I32" s="1392"/>
      <c r="J32" s="1392"/>
      <c r="K32" s="1392"/>
      <c r="L32" s="1392"/>
      <c r="M32" s="1392"/>
      <c r="N32" s="1392"/>
      <c r="O32" s="1392"/>
      <c r="P32" s="1392"/>
    </row>
    <row r="33" spans="4:6">
      <c r="D33" s="2269"/>
    </row>
    <row r="35" spans="4:6">
      <c r="F35" s="2224">
        <f ca="1">F19*结果表!G20/10000</f>
        <v>54478.553142000019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M14" sqref="M14"/>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4" t="s">
        <v>1962</v>
      </c>
      <c r="B2" s="1266">
        <f>项目基本情况!D3</f>
        <v>43724</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3.8">
      <c r="A6" s="2304" t="str">
        <f>'数据-汇总表'!C19</f>
        <v>住宅</v>
      </c>
      <c r="B6" s="2305" t="str">
        <f>IF(A6=0,"","经营性")</f>
        <v>经营性</v>
      </c>
      <c r="C6" s="2306" t="s">
        <v>3078</v>
      </c>
      <c r="D6" s="1051">
        <f>SUMIF(项目基本情况!D$12:I$12,C6,项目基本情况!D$14:I$14)</f>
        <v>70</v>
      </c>
      <c r="E6" s="1048">
        <f>IF(B6="","",SUMIF(项目基本情况!D$12:I$12,C6,项目基本情况!D$13:I$13))</f>
        <v>69053</v>
      </c>
      <c r="F6" s="72">
        <f>SUMIF(项目基本情况!D$12:I$12,C6,项目基本情况!D$15:I$15)</f>
        <v>69.39</v>
      </c>
      <c r="G6" s="73">
        <f>IF(ISERROR(ROUND(POWER(1+H6,D6-F6)*(POWER(1+H6,F6)-1)/(POWER(1+H6,D6)-1),3)),0,ROUND(POWER(1+H6,D6-F6)*(POWER(1+H6,F6)-1)/(POWER(1+H6,D6)-1),3))</f>
        <v>0.999</v>
      </c>
      <c r="H6" s="802">
        <v>4.4999999999999998E-2</v>
      </c>
      <c r="I6" s="802">
        <v>0.05</v>
      </c>
      <c r="J6" s="74">
        <v>0.08</v>
      </c>
      <c r="K6" s="1251">
        <f>SUMIF('数据-汇总表'!C$19:C$33,A6,'数据-汇总表'!E$19:E$33)</f>
        <v>54353.540000000015</v>
      </c>
      <c r="L6" s="803">
        <v>3500</v>
      </c>
      <c r="M6" s="75">
        <f t="shared" ref="M6:M14" si="0">ROUND(K6*L6/10000,0)</f>
        <v>19024</v>
      </c>
      <c r="N6" s="801">
        <v>0.55000000000000004</v>
      </c>
      <c r="O6" s="75">
        <f>IF($N$5="成新度","——",ROUND(M6*N6,0))</f>
        <v>10463</v>
      </c>
      <c r="P6" s="76">
        <f>IF($N$5="成新度","——",M6-O6)</f>
        <v>8561</v>
      </c>
      <c r="Q6" s="804">
        <v>0.15</v>
      </c>
      <c r="R6" s="77">
        <f ca="1">SUMIF('数据-汇总表'!C$19:C$33,A6,'数据-汇总表'!R$19:R$27)</f>
        <v>16242.02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190237390.00000006</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商业</v>
      </c>
      <c r="B7" s="2305" t="str">
        <f t="shared" ref="B7:B13" si="1">IF(A7=0,"","经营性")</f>
        <v>经营性</v>
      </c>
      <c r="C7" s="2306" t="s">
        <v>1373</v>
      </c>
      <c r="D7" s="1051">
        <f>SUMIF(项目基本情况!D$12:I$12,C7,项目基本情况!D$14:I$14)</f>
        <v>40</v>
      </c>
      <c r="E7" s="1048">
        <f>IF(B7="","",SUMIF(项目基本情况!D$12:I$12,C7,项目基本情况!D$13:I$13))</f>
        <v>58095</v>
      </c>
      <c r="F7" s="72">
        <f>SUMIF(项目基本情况!D$12:I$12,C7,项目基本情况!D$15:I$15)</f>
        <v>39.369999999999997</v>
      </c>
      <c r="G7" s="73">
        <f t="shared" ref="G7:G11" si="2">IF(ISERROR(ROUND(POWER(1+H7,D7-F7)*(POWER(1+H7,F7)-1)/(POWER(1+H7,D7)-1),3)),0,ROUND(POWER(1+H7,D7-F7)*(POWER(1+H7,F7)-1)/(POWER(1+H7,D7)-1),3))</f>
        <v>0.995</v>
      </c>
      <c r="H7" s="802">
        <v>0.05</v>
      </c>
      <c r="I7" s="802">
        <v>5.5E-2</v>
      </c>
      <c r="J7" s="74">
        <v>0.08</v>
      </c>
      <c r="K7" s="1251">
        <f>SUMIF('数据-汇总表'!C$19:C$33,A7,'数据-汇总表'!E$19:E$33)</f>
        <v>1120.92</v>
      </c>
      <c r="L7" s="803">
        <v>3000</v>
      </c>
      <c r="M7" s="75">
        <f t="shared" si="0"/>
        <v>336</v>
      </c>
      <c r="N7" s="801">
        <v>0.95</v>
      </c>
      <c r="O7" s="75">
        <f t="shared" ref="O7:O14" si="3">IF($N$5="成新度","——",ROUND(M7*N7,0))</f>
        <v>319</v>
      </c>
      <c r="P7" s="76">
        <f t="shared" ref="P7:P14" si="4">IF($N$5="成新度","——",M7-O7)</f>
        <v>17</v>
      </c>
      <c r="Q7" s="804">
        <v>0.2</v>
      </c>
      <c r="R7" s="77">
        <f ca="1">SUMIF('数据-汇总表'!C$19:C$33,A7,'数据-汇总表'!R$19:R$27)</f>
        <v>334.96</v>
      </c>
      <c r="S7" s="54">
        <f>IF('数据-汇总表'!$I$17="按面积比例",SUMIF('数据-汇总表'!C$19:C$33,A7,'数据-汇总表'!K$19:K$33),SUMIF('数据-汇总表'!C$19:C$33,A7,'数据-汇总表'!N$19:N$33))</f>
        <v>0</v>
      </c>
      <c r="T7" s="1443">
        <f t="shared" ref="T7:T13" si="5">ROUND($L$14*S7/10000,0)</f>
        <v>0</v>
      </c>
      <c r="U7" s="78">
        <v>3</v>
      </c>
      <c r="V7" s="79">
        <v>0.02</v>
      </c>
      <c r="W7" s="79">
        <v>0.15</v>
      </c>
      <c r="X7" s="1261"/>
      <c r="Y7" s="80">
        <v>1</v>
      </c>
      <c r="Z7" s="81"/>
      <c r="AA7" s="74"/>
      <c r="AB7" s="74"/>
      <c r="AC7" s="1261"/>
      <c r="AD7" s="82"/>
      <c r="AE7" s="1262">
        <f t="shared" ref="AE7:AE13" ca="1" si="6">IF(AN7="",0,SUMIF(INDIRECT("'"&amp;AN7&amp;"'"&amp;"!E:E"),$AE$5,INDIRECT("'"&amp;AN7&amp;"'"&amp;"!F:F")))</f>
        <v>38.169999999999995</v>
      </c>
      <c r="AF7" s="1804"/>
      <c r="AG7" s="147">
        <f t="shared" ref="AG7:AG13" si="7">IF(AF7="",0,AE7-AF7)</f>
        <v>0</v>
      </c>
      <c r="AH7" s="83"/>
      <c r="AI7" s="85">
        <v>365</v>
      </c>
      <c r="AJ7" s="86"/>
      <c r="AK7" s="87">
        <v>1.4999999999999999E-2</v>
      </c>
      <c r="AL7" s="88">
        <v>1.5E-3</v>
      </c>
      <c r="AM7" s="89">
        <v>0.02</v>
      </c>
      <c r="AN7" s="2307" t="s">
        <v>3265</v>
      </c>
      <c r="AO7" s="55">
        <f t="shared" ref="AO7:AO13" ca="1" si="8">SUMIF(INDIRECT("'"&amp;AN7&amp;"'"&amp;"!A:A"),"总价",INDIRECT("'"&amp;AN7&amp;"'"&amp;"!B:B"))</f>
        <v>1571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2011</v>
      </c>
      <c r="B16" s="97"/>
      <c r="C16" s="1005"/>
      <c r="D16" s="2312"/>
      <c r="E16" s="97"/>
      <c r="F16" s="97"/>
      <c r="G16" s="98">
        <f>ROUND(SUMPRODUCT(G6:G13,K6:K13)/SUMPRODUCT((G6:G13&gt;0)*(K6:K13)),3)</f>
        <v>0.999</v>
      </c>
      <c r="H16" s="99">
        <f>ROUND(SUMPRODUCT(H6:H13,K6:K13)/SUMPRODUCT((H6:H13&gt;0)*(K6:K13)),3)</f>
        <v>4.4999999999999998E-2</v>
      </c>
      <c r="I16" s="100"/>
      <c r="J16" s="100"/>
      <c r="K16" s="101">
        <f>SUM(K6:K15)</f>
        <v>55474.460000000014</v>
      </c>
      <c r="L16" s="102">
        <f>ROUND(M16*10000/SUM(K6:K14),0)</f>
        <v>3490</v>
      </c>
      <c r="M16" s="102">
        <f>SUM(M6:M14)</f>
        <v>19360</v>
      </c>
      <c r="N16" s="103">
        <f>ROUND(SUMPRODUCT(M6:M14,N6:N14)/M16,3)</f>
        <v>0.55700000000000005</v>
      </c>
      <c r="O16" s="102">
        <f>SUM(O6:O14)</f>
        <v>10782</v>
      </c>
      <c r="P16" s="102">
        <f>SUM(P6:P14)</f>
        <v>8578</v>
      </c>
      <c r="Q16" s="104">
        <f>ROUND(SUMPRODUCT(Q6:Q13,K6:K13)/SUMPRODUCT((Q6:Q13&gt;0)*(K6:K13)),2)</f>
        <v>0.15</v>
      </c>
      <c r="R16" s="1255">
        <f ca="1">SUM(R6:R13)</f>
        <v>16576.98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5" t="s">
        <v>2015</v>
      </c>
      <c r="B20" s="113">
        <v>2.5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6" t="s">
        <v>2017</v>
      </c>
      <c r="B21" s="113">
        <v>1.3</v>
      </c>
      <c r="C21" s="2275">
        <f>B20*N16</f>
        <v>1.3925000000000001</v>
      </c>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5" t="s">
        <v>2018</v>
      </c>
      <c r="B22" s="114">
        <f>B19+B20</f>
        <v>2.5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6" t="s">
        <v>2019</v>
      </c>
      <c r="B23" s="114">
        <f>B19+B21</f>
        <v>1.3</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1.2</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8.8">
      <c r="A27" s="2320" t="s">
        <v>2024</v>
      </c>
      <c r="B27" s="116">
        <v>100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2026</v>
      </c>
      <c r="B28" s="119">
        <v>100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2034</v>
      </c>
      <c r="B34" s="122">
        <v>0.05</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6" t="s">
        <v>2041</v>
      </c>
      <c r="B37" s="124">
        <v>0.03</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3" t="s">
        <v>2043</v>
      </c>
      <c r="B38" s="122">
        <v>0.03</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0" t="s">
        <v>2047</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8" t="s">
        <v>2049</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0" t="s">
        <v>2050</v>
      </c>
      <c r="B44" s="128">
        <v>7.0000000000000007E-2</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2" t="s">
        <v>2058</v>
      </c>
      <c r="B48" s="130">
        <v>0.04</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3" t="s">
        <v>2064</v>
      </c>
      <c r="B52" s="133">
        <f>SUMIF(A54:A63,B53,B54:B63)</f>
        <v>4</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3" t="s">
        <v>2065</v>
      </c>
      <c r="B53" s="2334" t="s">
        <v>137</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6" t="s">
        <v>2068</v>
      </c>
      <c r="B54" s="84">
        <v>10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6" t="s">
        <v>2069</v>
      </c>
      <c r="B55" s="84">
        <v>8</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6" t="s">
        <v>2070</v>
      </c>
      <c r="B56" s="84">
        <v>6</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6" t="s">
        <v>2071</v>
      </c>
      <c r="B57" s="84">
        <v>4</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6" t="s">
        <v>2073</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3.8"/>
  <cols>
    <col min="1" max="1" width="9.44140625" style="2367"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6"/>
    <col min="30" max="16384" width="9" style="2367"/>
  </cols>
  <sheetData>
    <row r="1" spans="1:29" s="2360" customFormat="1" ht="18" thickBot="1">
      <c r="A1" s="3168" t="s">
        <v>2078</v>
      </c>
      <c r="B1" s="3169"/>
      <c r="C1" s="3169"/>
      <c r="D1" s="3169"/>
      <c r="E1" s="3169"/>
      <c r="F1" s="3169"/>
      <c r="G1" s="316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2079</v>
      </c>
      <c r="D2" s="2364"/>
      <c r="E2" s="2365"/>
      <c r="F2" s="2284"/>
      <c r="G2" s="2363" t="s">
        <v>2080</v>
      </c>
      <c r="H2" s="2366"/>
      <c r="I2" s="2366"/>
      <c r="J2" s="2366"/>
      <c r="K2" s="2366"/>
      <c r="L2" s="2366"/>
      <c r="M2" s="2366"/>
      <c r="N2" s="2366"/>
      <c r="O2" s="2366"/>
      <c r="P2" s="2366"/>
      <c r="Q2" s="2366"/>
      <c r="R2" s="2366"/>
    </row>
    <row r="3" spans="1:29" ht="28.8">
      <c r="A3" s="415" t="s">
        <v>2081</v>
      </c>
      <c r="B3" s="1268" t="s">
        <v>2082</v>
      </c>
      <c r="C3" s="3011" t="s">
        <v>3240</v>
      </c>
      <c r="D3" s="2368"/>
      <c r="E3" s="431" t="s">
        <v>2081</v>
      </c>
      <c r="F3" s="2369" t="s">
        <v>2083</v>
      </c>
      <c r="G3" s="2370"/>
      <c r="H3" s="2366"/>
      <c r="I3" s="2366"/>
      <c r="J3" s="2366"/>
      <c r="K3" s="2366"/>
      <c r="L3" s="2366"/>
      <c r="M3" s="2366"/>
      <c r="N3" s="2366"/>
      <c r="O3" s="2366"/>
      <c r="P3" s="2366"/>
      <c r="Q3" s="2366"/>
      <c r="R3" s="2366"/>
    </row>
    <row r="4" spans="1:29" ht="14.4">
      <c r="A4" s="431"/>
      <c r="B4" s="1795" t="s">
        <v>2084</v>
      </c>
      <c r="C4" s="3012" t="s">
        <v>3241</v>
      </c>
      <c r="D4" s="2368"/>
      <c r="E4" s="2371"/>
      <c r="F4" s="42" t="s">
        <v>2085</v>
      </c>
      <c r="G4" s="2372"/>
      <c r="H4" s="2366"/>
      <c r="I4" s="2366"/>
      <c r="J4" s="2366"/>
      <c r="K4" s="2366"/>
      <c r="L4" s="2366"/>
      <c r="M4" s="2366"/>
      <c r="N4" s="2366"/>
      <c r="O4" s="2366"/>
      <c r="P4" s="2366"/>
      <c r="Q4" s="2366"/>
      <c r="R4" s="2366"/>
    </row>
    <row r="5" spans="1:29" ht="14.4">
      <c r="A5" s="431"/>
      <c r="B5" s="1795" t="s">
        <v>2086</v>
      </c>
      <c r="C5" s="3012" t="s">
        <v>3241</v>
      </c>
      <c r="D5" s="2368"/>
      <c r="E5" s="2371"/>
      <c r="F5" s="1795" t="s">
        <v>2087</v>
      </c>
      <c r="G5" s="2372"/>
      <c r="H5" s="2366"/>
      <c r="I5" s="2366"/>
      <c r="J5" s="2366"/>
      <c r="K5" s="2366"/>
      <c r="L5" s="2366"/>
      <c r="M5" s="2366"/>
      <c r="N5" s="2366"/>
      <c r="O5" s="2366"/>
      <c r="P5" s="2366"/>
      <c r="Q5" s="2366"/>
      <c r="R5" s="2366"/>
    </row>
    <row r="6" spans="1:29" ht="14.4">
      <c r="A6" s="431"/>
      <c r="B6" s="1795" t="s">
        <v>2088</v>
      </c>
      <c r="C6" s="3013" t="s">
        <v>3242</v>
      </c>
      <c r="D6" s="2368"/>
      <c r="E6" s="2371"/>
      <c r="F6" s="1795" t="s">
        <v>2089</v>
      </c>
      <c r="G6" s="2372"/>
      <c r="H6" s="2366"/>
      <c r="I6" s="2366"/>
      <c r="J6" s="2366"/>
      <c r="K6" s="2366"/>
      <c r="L6" s="2366"/>
      <c r="M6" s="2366"/>
      <c r="N6" s="2366"/>
      <c r="O6" s="2366"/>
      <c r="P6" s="2366"/>
      <c r="Q6" s="2366"/>
      <c r="R6" s="2366"/>
    </row>
    <row r="7" spans="1:29" ht="15" thickBot="1">
      <c r="A7" s="431"/>
      <c r="B7" s="1795" t="s">
        <v>2087</v>
      </c>
      <c r="C7" s="3013" t="s">
        <v>3243</v>
      </c>
      <c r="D7" s="2373"/>
      <c r="E7" s="2374"/>
      <c r="F7" s="2375" t="s">
        <v>2090</v>
      </c>
      <c r="G7" s="2376"/>
      <c r="H7" s="2366"/>
      <c r="I7" s="2366"/>
      <c r="J7" s="2366"/>
      <c r="K7" s="2366"/>
      <c r="L7" s="2366"/>
      <c r="M7" s="2366"/>
      <c r="N7" s="2366"/>
      <c r="O7" s="2366"/>
      <c r="P7" s="2366"/>
      <c r="Q7" s="2366"/>
      <c r="R7" s="2366"/>
    </row>
    <row r="8" spans="1:29" ht="14.4">
      <c r="A8" s="431"/>
      <c r="B8" s="1795" t="s">
        <v>2089</v>
      </c>
      <c r="C8" s="3013" t="s">
        <v>3244</v>
      </c>
      <c r="D8" s="2373"/>
      <c r="E8" s="2373"/>
      <c r="F8" s="1133"/>
      <c r="G8" s="1133"/>
      <c r="H8" s="2366"/>
      <c r="I8" s="2366"/>
      <c r="J8" s="2366"/>
      <c r="K8" s="2366"/>
      <c r="L8" s="2366"/>
      <c r="M8" s="2366"/>
      <c r="N8" s="2366"/>
      <c r="O8" s="2366"/>
      <c r="P8" s="2366"/>
      <c r="Q8" s="2366"/>
      <c r="R8" s="2366"/>
    </row>
    <row r="9" spans="1:29" ht="14.4">
      <c r="A9" s="431"/>
      <c r="B9" s="1795" t="s">
        <v>2091</v>
      </c>
      <c r="C9" s="3012" t="s">
        <v>3243</v>
      </c>
      <c r="D9" s="2368"/>
      <c r="E9" s="2373"/>
      <c r="F9" s="1133"/>
      <c r="G9" s="1133"/>
      <c r="H9" s="2366"/>
      <c r="I9" s="2366"/>
      <c r="J9" s="2366"/>
      <c r="K9" s="2366"/>
      <c r="L9" s="2366"/>
      <c r="M9" s="2366"/>
      <c r="N9" s="2366"/>
      <c r="O9" s="2366"/>
      <c r="P9" s="2366"/>
      <c r="Q9" s="2366"/>
      <c r="R9" s="2366"/>
    </row>
    <row r="10" spans="1:29" s="117" customFormat="1" ht="15" thickBot="1">
      <c r="A10" s="2377"/>
      <c r="B10" s="2378" t="s">
        <v>2092</v>
      </c>
      <c r="C10" s="3014" t="s">
        <v>3245</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7.399999999999999">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8" thickBot="1">
      <c r="A13" s="2389" t="s">
        <v>2093</v>
      </c>
      <c r="B13" s="2383"/>
      <c r="C13" s="2383"/>
      <c r="D13" s="2390"/>
      <c r="E13" s="2383"/>
      <c r="F13" s="2383"/>
      <c r="G13" s="2383"/>
    </row>
    <row r="14" spans="1:29" ht="15" thickBot="1">
      <c r="A14" s="2394"/>
      <c r="B14" s="2395"/>
      <c r="C14" s="2396" t="s">
        <v>2094</v>
      </c>
      <c r="D14" s="2368"/>
      <c r="E14" s="2397"/>
      <c r="F14" s="2397"/>
      <c r="G14" s="2363" t="s">
        <v>2095</v>
      </c>
    </row>
    <row r="15" spans="1:29" ht="28.8">
      <c r="A15" s="68" t="s">
        <v>2096</v>
      </c>
      <c r="B15" s="1267" t="s">
        <v>2082</v>
      </c>
      <c r="C15" s="2398" t="str">
        <f>C3</f>
        <v>一般</v>
      </c>
      <c r="D15" s="2368"/>
      <c r="E15" s="2399" t="s">
        <v>2097</v>
      </c>
      <c r="F15" s="1267" t="s">
        <v>2098</v>
      </c>
      <c r="G15" s="135">
        <f>G3</f>
        <v>0</v>
      </c>
    </row>
    <row r="16" spans="1:29" ht="14.4">
      <c r="A16" s="645"/>
      <c r="B16" s="2400" t="s">
        <v>2084</v>
      </c>
      <c r="C16" s="2401" t="str">
        <f>C4</f>
        <v>一般</v>
      </c>
      <c r="D16" s="2368"/>
      <c r="E16" s="2402"/>
      <c r="F16" s="2403" t="s">
        <v>2085</v>
      </c>
      <c r="G16" s="136">
        <f>G4</f>
        <v>0</v>
      </c>
    </row>
    <row r="17" spans="1:18" ht="14.4">
      <c r="A17" s="645"/>
      <c r="B17" s="2400" t="s">
        <v>2086</v>
      </c>
      <c r="C17" s="2401" t="str">
        <f>C5</f>
        <v>一般</v>
      </c>
      <c r="D17" s="2373"/>
      <c r="E17" s="2402"/>
      <c r="F17" s="2403" t="s">
        <v>2099</v>
      </c>
      <c r="G17" s="1569"/>
    </row>
    <row r="18" spans="1:18" ht="14.4">
      <c r="A18" s="645"/>
      <c r="B18" s="2403" t="s">
        <v>2088</v>
      </c>
      <c r="C18" s="136" t="str">
        <f>C6</f>
        <v>一般</v>
      </c>
      <c r="D18" s="2373"/>
      <c r="E18" s="2402"/>
      <c r="F18" s="2403" t="s">
        <v>2090</v>
      </c>
      <c r="G18" s="136">
        <f>G7</f>
        <v>0</v>
      </c>
    </row>
    <row r="19" spans="1:18" ht="14.4">
      <c r="A19" s="645"/>
      <c r="B19" s="2403" t="s">
        <v>2100</v>
      </c>
      <c r="C19" s="3010" t="s">
        <v>3246</v>
      </c>
      <c r="D19" s="2368"/>
      <c r="E19" s="2402"/>
      <c r="F19" s="1795" t="s">
        <v>2087</v>
      </c>
      <c r="G19" s="136">
        <f>G5</f>
        <v>0</v>
      </c>
    </row>
    <row r="20" spans="1:18" ht="14.4">
      <c r="A20" s="645"/>
      <c r="B20" s="2403" t="s">
        <v>2101</v>
      </c>
      <c r="C20" s="2401" t="str">
        <f>C9</f>
        <v>一般</v>
      </c>
      <c r="D20" s="2373"/>
      <c r="E20" s="2402"/>
      <c r="F20" s="1795" t="s">
        <v>2102</v>
      </c>
      <c r="G20" s="136">
        <f>G6</f>
        <v>0</v>
      </c>
    </row>
    <row r="21" spans="1:18" ht="14.4">
      <c r="A21" s="645"/>
      <c r="B21" s="1795" t="s">
        <v>2087</v>
      </c>
      <c r="C21" s="136" t="str">
        <f>C7</f>
        <v>一般</v>
      </c>
      <c r="D21" s="2368"/>
      <c r="E21" s="2402"/>
      <c r="F21" s="2403" t="s">
        <v>2103</v>
      </c>
      <c r="G21" s="2404"/>
    </row>
    <row r="22" spans="1:18" ht="13.5" customHeight="1">
      <c r="A22" s="645"/>
      <c r="B22" s="1795" t="s">
        <v>2089</v>
      </c>
      <c r="C22" s="136" t="str">
        <f>C8</f>
        <v>六通</v>
      </c>
      <c r="D22" s="2368"/>
      <c r="E22" s="2402"/>
      <c r="F22" s="2403" t="s">
        <v>2092</v>
      </c>
      <c r="G22" s="1569"/>
    </row>
    <row r="23" spans="1:18" s="2366" customFormat="1" ht="15" thickBot="1">
      <c r="A23" s="645"/>
      <c r="B23" s="2403" t="s">
        <v>2103</v>
      </c>
      <c r="C23" s="2404" t="s">
        <v>3247</v>
      </c>
      <c r="D23" s="2391"/>
      <c r="E23" s="2405"/>
      <c r="F23" s="2406" t="s">
        <v>2104</v>
      </c>
      <c r="G23" s="2407"/>
      <c r="H23" s="2391"/>
      <c r="I23" s="2392"/>
      <c r="J23" s="2391"/>
      <c r="K23" s="2391"/>
      <c r="L23" s="2392"/>
      <c r="M23" s="2391"/>
      <c r="N23" s="2391"/>
      <c r="O23" s="2392"/>
      <c r="P23" s="2391"/>
      <c r="Q23" s="2391"/>
      <c r="R23" s="2393"/>
    </row>
    <row r="24" spans="1:18" s="2366" customFormat="1" ht="15" thickBot="1">
      <c r="A24" s="2408"/>
      <c r="B24" s="2406" t="s">
        <v>2105</v>
      </c>
      <c r="C24" s="137" t="str">
        <f>C10</f>
        <v>支路</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E1" workbookViewId="0">
      <selection activeCell="H19" sqref="H19"/>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55474.460000000014</v>
      </c>
      <c r="C1" s="1742"/>
      <c r="D1" s="1742"/>
      <c r="E1" s="1742"/>
      <c r="F1" s="1742"/>
      <c r="G1" s="1740"/>
    </row>
    <row r="2" spans="1:10" ht="16.2">
      <c r="A2" s="1743" t="s">
        <v>1349</v>
      </c>
      <c r="B2" s="1743">
        <f>SUM(C14:C23)</f>
        <v>16576.98</v>
      </c>
      <c r="C2" s="1742"/>
      <c r="D2" s="1742"/>
      <c r="E2" s="1742"/>
      <c r="F2" s="1742"/>
      <c r="G2" s="1740"/>
    </row>
    <row r="3" spans="1:10" ht="15.6">
      <c r="A3" s="1743" t="s">
        <v>1358</v>
      </c>
      <c r="B3" s="1744">
        <f>项目基本情况!D3</f>
        <v>43724</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55741.64999999998</v>
      </c>
      <c r="C5" s="1743">
        <f ca="1">ROUND(B5*10000/$B$1,0)</f>
        <v>10048</v>
      </c>
      <c r="D5" s="1743">
        <f ca="1">ROUND(B5*10000/$B$2,0)</f>
        <v>33626</v>
      </c>
      <c r="E5" s="1742"/>
      <c r="F5" s="1740"/>
      <c r="G5" s="1740"/>
    </row>
    <row r="6" spans="1:10" ht="15.6">
      <c r="A6" s="1743" t="s">
        <v>1352</v>
      </c>
      <c r="B6" s="1743">
        <f ca="1">SUM(G14:G23)</f>
        <v>55332.029999999977</v>
      </c>
      <c r="C6" s="1743">
        <f ca="1">ROUND(B6*10000/$B$1,0)</f>
        <v>9974</v>
      </c>
      <c r="D6" s="1743">
        <f ca="1">ROUND(B6*10000/$B$2,0)</f>
        <v>33379</v>
      </c>
      <c r="E6" s="1742"/>
      <c r="F6" s="1740"/>
      <c r="G6" s="1740"/>
    </row>
    <row r="7" spans="1:10" ht="15.6">
      <c r="A7" s="1743" t="s">
        <v>1360</v>
      </c>
      <c r="B7" s="1743">
        <f>SUM(H14:H23)</f>
        <v>0</v>
      </c>
      <c r="C7" s="1743">
        <f>ROUND(B7*10000/$B$1,0)</f>
        <v>0</v>
      </c>
      <c r="D7" s="1743">
        <f>ROUND(B7*10000/$B$2,0)</f>
        <v>0</v>
      </c>
      <c r="E7" s="1742"/>
      <c r="F7" s="1740"/>
      <c r="G7" s="1740"/>
    </row>
    <row r="8" spans="1:10" ht="15.6">
      <c r="A8" s="1743" t="s">
        <v>1281</v>
      </c>
      <c r="B8" s="1743">
        <f>SUM(I14:I23)</f>
        <v>0</v>
      </c>
      <c r="C8" s="1743">
        <f>ROUND(B8*10000/$B$1,0)</f>
        <v>0</v>
      </c>
      <c r="D8" s="1743">
        <f>ROUND(B8*10000/$B$2,0)</f>
        <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54353.540000000015</v>
      </c>
      <c r="C14" s="1741">
        <f>结果表!C118</f>
        <v>16242.02</v>
      </c>
      <c r="D14" s="1741">
        <f ca="1">分房号清单!D474</f>
        <v>54478.599999999977</v>
      </c>
      <c r="E14" s="1741">
        <f ca="1">ROUND(D14*10000/B14,0)</f>
        <v>10023</v>
      </c>
      <c r="F14" s="1741">
        <f ca="1">ROUND(D14*10000/C14,0)</f>
        <v>33542</v>
      </c>
      <c r="G14" s="1741">
        <f ca="1">分房号清单!F474</f>
        <v>54101.989999999976</v>
      </c>
      <c r="H14" s="1741" t="str">
        <f>结果表!D124</f>
        <v>——</v>
      </c>
      <c r="I14" s="1741" t="str">
        <f>结果表!D126</f>
        <v>——</v>
      </c>
      <c r="J14" s="1740"/>
    </row>
    <row r="15" spans="1:10" ht="15.6">
      <c r="A15" s="1739" t="s">
        <v>1345</v>
      </c>
      <c r="B15" s="1746">
        <f>'数据-汇总表'!F20</f>
        <v>1120.92</v>
      </c>
      <c r="C15" s="1746">
        <f>'数据-汇总表'!D20</f>
        <v>334.96</v>
      </c>
      <c r="D15" s="1746">
        <f ca="1">分房号清单!D481</f>
        <v>1263.0500000000002</v>
      </c>
      <c r="E15" s="1741">
        <f t="shared" ref="E15:E23" ca="1" si="0">ROUND(D15*10000/B15,0)</f>
        <v>11268</v>
      </c>
      <c r="F15" s="1741">
        <f t="shared" ref="F15:F23" ca="1" si="1">ROUND(D15*10000/C15,0)</f>
        <v>37707</v>
      </c>
      <c r="G15" s="1747">
        <f ca="1">分房号清单!F481</f>
        <v>1230.0400000000002</v>
      </c>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 zoomScaleNormal="100" zoomScaleSheetLayoutView="100" zoomScalePageLayoutView="80" workbookViewId="0">
      <selection activeCell="G32" sqref="G32"/>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3" t="s">
        <v>2106</v>
      </c>
      <c r="B1" s="2414"/>
      <c r="C1" s="2415" t="s">
        <v>3078</v>
      </c>
      <c r="D1" s="2414"/>
      <c r="E1" s="2414"/>
      <c r="F1" s="2416" t="s">
        <v>2107</v>
      </c>
      <c r="G1" s="2068" t="s">
        <v>2108</v>
      </c>
      <c r="H1" s="2417" t="str">
        <f>IF(G1="现房","——","估价对象范围")</f>
        <v>估价对象范围</v>
      </c>
      <c r="I1" s="2418" t="s">
        <v>3266</v>
      </c>
    </row>
    <row r="2" spans="1:12" ht="21.75" customHeight="1" thickBot="1">
      <c r="A2" s="3242" t="str">
        <f>项目基本情况!S2</f>
        <v>武汉市东西湖区A地块出让国有建设用地使用权及在建建筑物房地产</v>
      </c>
      <c r="B2" s="3243"/>
      <c r="C2" s="3243"/>
      <c r="D2" s="3243"/>
      <c r="E2" s="3243"/>
      <c r="F2" s="3243"/>
      <c r="G2" s="3243"/>
      <c r="H2" s="3243"/>
      <c r="I2" s="3244"/>
    </row>
    <row r="3" spans="1:12" ht="13.2">
      <c r="A3" s="3245" t="s">
        <v>2109</v>
      </c>
      <c r="B3" s="3246"/>
      <c r="C3" s="3246"/>
      <c r="D3" s="3246"/>
      <c r="E3" s="3246"/>
      <c r="F3" s="3246"/>
      <c r="G3" s="3246"/>
      <c r="H3" s="3246"/>
      <c r="I3" s="3246"/>
    </row>
    <row r="4" spans="1:12" ht="14.4">
      <c r="A4" s="2421" t="s">
        <v>2110</v>
      </c>
      <c r="B4" s="2422" t="s">
        <v>2111</v>
      </c>
      <c r="C4" s="2423" t="s">
        <v>3219</v>
      </c>
      <c r="D4" s="2423" t="s">
        <v>3220</v>
      </c>
      <c r="E4" s="3226" t="s">
        <v>2112</v>
      </c>
      <c r="F4" s="3239"/>
      <c r="G4" s="3239"/>
      <c r="H4" s="3239"/>
      <c r="I4" s="322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217" t="s">
        <v>2113</v>
      </c>
      <c r="B5" s="3143">
        <v>25</v>
      </c>
      <c r="C5" s="3247"/>
      <c r="D5" s="3235"/>
      <c r="E5" s="140" t="s">
        <v>2114</v>
      </c>
      <c r="F5" s="2425"/>
      <c r="G5" s="2425"/>
      <c r="H5" s="2425"/>
      <c r="I5" s="1831"/>
    </row>
    <row r="6" spans="1:12" ht="13.2">
      <c r="A6" s="3217"/>
      <c r="B6" s="3143"/>
      <c r="C6" s="3249"/>
      <c r="D6" s="3235"/>
      <c r="E6" s="140" t="s">
        <v>2115</v>
      </c>
      <c r="F6" s="2425"/>
      <c r="G6" s="2425"/>
      <c r="H6" s="2425"/>
      <c r="I6" s="1831"/>
    </row>
    <row r="7" spans="1:12" ht="13.2">
      <c r="A7" s="3217"/>
      <c r="B7" s="3143"/>
      <c r="C7" s="3248"/>
      <c r="D7" s="3235"/>
      <c r="E7" s="140" t="s">
        <v>2116</v>
      </c>
      <c r="F7" s="2425"/>
      <c r="G7" s="2425"/>
      <c r="H7" s="2425"/>
      <c r="I7" s="1831"/>
    </row>
    <row r="8" spans="1:12" ht="13.2">
      <c r="A8" s="3217" t="s">
        <v>2117</v>
      </c>
      <c r="B8" s="3143">
        <v>15</v>
      </c>
      <c r="C8" s="3247"/>
      <c r="D8" s="3235"/>
      <c r="E8" s="140" t="s">
        <v>2118</v>
      </c>
      <c r="F8" s="2425"/>
      <c r="G8" s="2425"/>
      <c r="H8" s="2425"/>
      <c r="I8" s="1831"/>
    </row>
    <row r="9" spans="1:12" ht="13.2">
      <c r="A9" s="3217"/>
      <c r="B9" s="3143"/>
      <c r="C9" s="3248"/>
      <c r="D9" s="3235"/>
      <c r="E9" s="140" t="s">
        <v>2119</v>
      </c>
      <c r="F9" s="2425"/>
      <c r="G9" s="2425"/>
      <c r="H9" s="2425"/>
      <c r="I9" s="1831"/>
    </row>
    <row r="10" spans="1:12" ht="13.2">
      <c r="A10" s="3217" t="s">
        <v>2120</v>
      </c>
      <c r="B10" s="3143">
        <v>15</v>
      </c>
      <c r="C10" s="3247"/>
      <c r="D10" s="3235"/>
      <c r="E10" s="140" t="s">
        <v>2121</v>
      </c>
      <c r="F10" s="2425"/>
      <c r="G10" s="2425"/>
      <c r="H10" s="2425"/>
      <c r="I10" s="1831"/>
    </row>
    <row r="11" spans="1:12" ht="13.2">
      <c r="A11" s="3217"/>
      <c r="B11" s="3143"/>
      <c r="C11" s="3248"/>
      <c r="D11" s="3235"/>
      <c r="E11" s="140" t="s">
        <v>2122</v>
      </c>
      <c r="F11" s="2425"/>
      <c r="G11" s="2425"/>
      <c r="H11" s="2425"/>
      <c r="I11" s="1831"/>
    </row>
    <row r="12" spans="1:12" ht="13.2">
      <c r="A12" s="3217" t="s">
        <v>2123</v>
      </c>
      <c r="B12" s="3143">
        <v>15</v>
      </c>
      <c r="C12" s="3247"/>
      <c r="D12" s="3235"/>
      <c r="E12" s="140" t="s">
        <v>2124</v>
      </c>
      <c r="F12" s="2425"/>
      <c r="G12" s="2425"/>
      <c r="H12" s="2425"/>
      <c r="I12" s="1831"/>
    </row>
    <row r="13" spans="1:12" ht="13.2">
      <c r="A13" s="3217"/>
      <c r="B13" s="3143"/>
      <c r="C13" s="3248"/>
      <c r="D13" s="3235"/>
      <c r="E13" s="140" t="s">
        <v>2125</v>
      </c>
      <c r="F13" s="2425"/>
      <c r="G13" s="2425"/>
      <c r="H13" s="2425"/>
      <c r="I13" s="1831"/>
    </row>
    <row r="14" spans="1:12" ht="13.2">
      <c r="A14" s="3217" t="s">
        <v>2126</v>
      </c>
      <c r="B14" s="3143">
        <v>30</v>
      </c>
      <c r="C14" s="3247">
        <v>5</v>
      </c>
      <c r="D14" s="3235">
        <v>5</v>
      </c>
      <c r="E14" s="140" t="s">
        <v>2127</v>
      </c>
      <c r="F14" s="2425"/>
      <c r="G14" s="2425"/>
      <c r="H14" s="2425"/>
      <c r="I14" s="1831"/>
    </row>
    <row r="15" spans="1:12" ht="13.2">
      <c r="A15" s="3217"/>
      <c r="B15" s="3143"/>
      <c r="C15" s="3249"/>
      <c r="D15" s="3235"/>
      <c r="E15" s="140" t="s">
        <v>2128</v>
      </c>
      <c r="F15" s="2425"/>
      <c r="G15" s="2425"/>
      <c r="H15" s="2425"/>
      <c r="I15" s="1831"/>
    </row>
    <row r="16" spans="1:12" ht="13.2">
      <c r="A16" s="3217"/>
      <c r="B16" s="3143"/>
      <c r="C16" s="3248"/>
      <c r="D16" s="3235"/>
      <c r="E16" s="140" t="s">
        <v>2129</v>
      </c>
      <c r="F16" s="2425"/>
      <c r="G16" s="2425"/>
      <c r="H16" s="2425"/>
      <c r="I16" s="1831"/>
    </row>
    <row r="17" spans="1:35" ht="14.4">
      <c r="A17" s="2426" t="s">
        <v>2130</v>
      </c>
      <c r="B17" s="64"/>
      <c r="C17" s="141">
        <f>SUM(C5:C16)</f>
        <v>5</v>
      </c>
      <c r="D17" s="141">
        <f>SUM(D5:D16)</f>
        <v>5</v>
      </c>
      <c r="E17" s="138"/>
      <c r="F17" s="138"/>
      <c r="G17" s="138"/>
      <c r="H17" s="138"/>
      <c r="I17" s="138"/>
      <c r="K17" s="2424"/>
      <c r="L17" s="2427" t="s">
        <v>2131</v>
      </c>
      <c r="M17" s="2427" t="s">
        <v>2132</v>
      </c>
    </row>
    <row r="18" spans="1:35" ht="1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54353.540000000015</v>
      </c>
      <c r="M18" s="2424">
        <f>IF(C1="",'数据-汇总表'!E3,SUMIF(项目类型,C1,'数据-汇总表'!E17:E26))</f>
        <v>54353.540000000015</v>
      </c>
    </row>
    <row r="19" spans="1:35" ht="14.4">
      <c r="A19" s="2430" t="s">
        <v>2135</v>
      </c>
      <c r="B19" s="2431" t="s">
        <v>2136</v>
      </c>
      <c r="C19" s="143">
        <f ca="1">SUMIF(INDIRECT("'"&amp;C4&amp;"'"&amp;"!A:A"),结果表!B19,INDIRECT("'"&amp;C4&amp;"'"&amp;"!B:B"))</f>
        <v>55121</v>
      </c>
      <c r="D19" s="144">
        <f ca="1">SUMIF(INDIRECT("'"&amp;D4&amp;"'"&amp;"!A:A"),结果表!B19,INDIRECT("'"&amp;D4&amp;"'"&amp;"!B:B"))</f>
        <v>53836</v>
      </c>
      <c r="E19" s="2430" t="s">
        <v>2137</v>
      </c>
      <c r="F19" s="2431" t="s">
        <v>2136</v>
      </c>
      <c r="G19" s="145">
        <f ca="1">ROUND(C19*$C$18+D19*$D$18,0)</f>
        <v>54479</v>
      </c>
      <c r="H19" s="2432" t="s">
        <v>2138</v>
      </c>
      <c r="I19" s="138"/>
      <c r="K19" s="2424" t="s">
        <v>2139</v>
      </c>
      <c r="L19" s="2424">
        <f>IF(C1="",'数据-汇总表'!D3,SUMIF(项目类型,C1,'数据-汇总表'!D17:D26)+SUMIF(项目类型,C1,'数据-汇总表'!H17:H27))</f>
        <v>16242.02</v>
      </c>
      <c r="M19" s="2424">
        <f>IF(C1="",'数据-汇总表'!D3,SUMIF(项目类型,C1,'数据-汇总表'!D17:D26))</f>
        <v>16242.02</v>
      </c>
    </row>
    <row r="20" spans="1:35" ht="14.4">
      <c r="A20" s="2433"/>
      <c r="B20" s="1247" t="s">
        <v>2140</v>
      </c>
      <c r="C20" s="146">
        <f ca="1">SUMIF(INDIRECT("'"&amp;C4&amp;"'"&amp;"!A:A"),结果表!B20,INDIRECT("'"&amp;C4&amp;"'"&amp;"!B:B"))</f>
        <v>10141</v>
      </c>
      <c r="D20" s="147">
        <f ca="1">SUMIF(INDIRECT("'"&amp;D4&amp;"'"&amp;"!A:A"),结果表!B20,INDIRECT("'"&amp;D4&amp;"'"&amp;"!B:B"))</f>
        <v>9905</v>
      </c>
      <c r="E20" s="2433"/>
      <c r="F20" s="1247" t="s">
        <v>2140</v>
      </c>
      <c r="G20" s="148">
        <f ca="1">ROUND(C20*$C$18+D20*$D$18,0)</f>
        <v>10023</v>
      </c>
      <c r="H20" s="980" t="s">
        <v>2141</v>
      </c>
      <c r="I20" s="138"/>
    </row>
    <row r="21" spans="1:35" ht="15" customHeight="1" thickBot="1">
      <c r="A21" s="1000"/>
      <c r="B21" s="2434" t="s">
        <v>2142</v>
      </c>
      <c r="C21" s="789">
        <f ca="1">ROUND(C19*10000/L19,0)</f>
        <v>33937</v>
      </c>
      <c r="D21" s="790">
        <f ca="1">ROUND(D19*10000/L19,0)</f>
        <v>33146</v>
      </c>
      <c r="E21" s="1000"/>
      <c r="F21" s="2434" t="s">
        <v>2142</v>
      </c>
      <c r="G21" s="149">
        <f ca="1">ROUND(G19*10000/L19,0)</f>
        <v>33542</v>
      </c>
      <c r="H21" s="2435" t="s">
        <v>2141</v>
      </c>
      <c r="I21" s="138"/>
    </row>
    <row r="22" spans="1:35" ht="15" thickBot="1">
      <c r="A22" s="2279" t="s">
        <v>2143</v>
      </c>
      <c r="B22" s="2436"/>
      <c r="C22" s="2437"/>
      <c r="D22" s="791">
        <f ca="1">IF(C19&lt;D19,D19/C19-1,C19/D19-1)</f>
        <v>2.3868786685489196E-2</v>
      </c>
      <c r="E22" s="138"/>
      <c r="F22" s="138"/>
      <c r="G22" s="138"/>
      <c r="H22" s="138"/>
      <c r="I22" s="138"/>
    </row>
    <row r="23" spans="1:35" ht="13.8" thickBot="1">
      <c r="A23" s="2414"/>
      <c r="B23" s="2414"/>
      <c r="C23" s="2414"/>
      <c r="D23" s="2414"/>
      <c r="E23" s="138"/>
      <c r="F23" s="138"/>
      <c r="G23" s="138"/>
      <c r="H23" s="138"/>
      <c r="I23" s="138"/>
    </row>
    <row r="24" spans="1:35" ht="14.4">
      <c r="A24" s="3256" t="s">
        <v>2144</v>
      </c>
      <c r="B24" s="2431" t="s">
        <v>2136</v>
      </c>
      <c r="C24" s="145">
        <f>IF(B30=0,0,D30)</f>
        <v>0</v>
      </c>
      <c r="D24" s="2438"/>
      <c r="E24" s="138"/>
      <c r="F24" s="138"/>
      <c r="G24" s="138"/>
      <c r="H24" s="138"/>
      <c r="I24" s="138"/>
    </row>
    <row r="25" spans="1:35" ht="14.4">
      <c r="A25" s="3257"/>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2149</v>
      </c>
      <c r="B30" s="151"/>
      <c r="C30" s="151"/>
      <c r="D30" s="151"/>
      <c r="E30" s="2910" t="s">
        <v>3020</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2150</v>
      </c>
      <c r="B32" s="2444"/>
      <c r="C32" s="153">
        <f ca="1">IF(D32="总价",G19-C24,G20-C25)</f>
        <v>10023</v>
      </c>
      <c r="D32" s="2445" t="s">
        <v>3840</v>
      </c>
      <c r="E32" s="138"/>
      <c r="F32" s="138"/>
      <c r="G32" s="138"/>
      <c r="H32" s="138"/>
      <c r="I32" s="138"/>
    </row>
    <row r="33" spans="1:15" ht="14.4">
      <c r="A33" s="957" t="s">
        <v>2151</v>
      </c>
      <c r="B33" s="2446"/>
      <c r="C33" s="2447" t="s">
        <v>3227</v>
      </c>
      <c r="D33" s="2448" t="s">
        <v>3219</v>
      </c>
      <c r="E33" s="2449" t="s">
        <v>2152</v>
      </c>
      <c r="F33" s="2450" t="str">
        <f>IF(D32="楼面单价","取值（单价）","取值（总价）")</f>
        <v>取值（单价）</v>
      </c>
      <c r="G33" s="138"/>
      <c r="H33" s="138"/>
      <c r="I33" s="138"/>
    </row>
    <row r="34" spans="1:15" ht="14.4">
      <c r="A34" s="2451"/>
      <c r="B34" s="2452" t="s">
        <v>2153</v>
      </c>
      <c r="C34" s="157">
        <f ca="1">IF(C33="自定义",F34,C32-C35)</f>
        <v>7096</v>
      </c>
      <c r="D34" s="1055">
        <f ca="1">IF(C33="自定义",ROUND(C34/C32,3),IF(C33="收益比率",SUMIF(INDIRECT("'"&amp;D33&amp;"'"&amp;"!b:b"),"土地收益比率",INDIRECT("'"&amp;D33&amp;"'"&amp;"!c:c")),SUMIF(INDIRECT("'"&amp;D33&amp;"'"&amp;"!b:b"),"土地成本比率",INDIRECT("'"&amp;D33&amp;"'"&amp;"!c:c"))))</f>
        <v>0.70799999999999996</v>
      </c>
      <c r="E34" s="2453" t="s">
        <v>2154</v>
      </c>
      <c r="F34" s="1736"/>
      <c r="G34" s="138"/>
      <c r="H34" s="138"/>
      <c r="I34" s="138"/>
    </row>
    <row r="35" spans="1:15" ht="15" thickBot="1">
      <c r="A35" s="2454"/>
      <c r="B35" s="2455" t="s">
        <v>2155</v>
      </c>
      <c r="C35" s="1441">
        <f ca="1">IF(C33="自定义",F35,ROUND(C32*D35,0))</f>
        <v>2927</v>
      </c>
      <c r="D35" s="1442">
        <f ca="1">IF(C33="自定义",ROUND(C35/C32,3),IF(C33="收益比率",SUMIF(INDIRECT("'"&amp;D33&amp;"'"&amp;"!b:b"),"建筑物收益比率",INDIRECT("'"&amp;D33&amp;"'"&amp;"!c:c")),SUMIF(INDIRECT("'"&amp;D33&amp;"'"&amp;"!b:b"),"建筑物成本比率",INDIRECT("'"&amp;D33&amp;"'"&amp;"!c:c"))))</f>
        <v>0.29199999999999998</v>
      </c>
      <c r="E35" s="2456" t="s">
        <v>2156</v>
      </c>
      <c r="F35" s="163"/>
      <c r="G35" s="138"/>
      <c r="H35" s="138"/>
      <c r="I35" s="138"/>
    </row>
    <row r="36" spans="1:15" ht="15" thickBot="1">
      <c r="A36" s="3236" t="s">
        <v>2157</v>
      </c>
      <c r="B36" s="2457" t="s">
        <v>2158</v>
      </c>
      <c r="C36" s="154"/>
      <c r="D36" s="2458"/>
      <c r="E36" s="2459"/>
      <c r="F36" s="2460"/>
      <c r="G36" s="138"/>
      <c r="H36" s="138"/>
      <c r="I36" s="138"/>
    </row>
    <row r="37" spans="1:15" ht="15" thickBot="1">
      <c r="A37" s="3237"/>
      <c r="B37" s="2265" t="s">
        <v>2159</v>
      </c>
      <c r="C37" s="156">
        <f>分房号清单!C489</f>
        <v>409.62</v>
      </c>
      <c r="D37" s="1392"/>
      <c r="E37" s="1392"/>
      <c r="F37" s="2460"/>
      <c r="G37" s="138"/>
      <c r="H37" s="138"/>
      <c r="I37" s="138"/>
    </row>
    <row r="38" spans="1:15" ht="15" thickBot="1">
      <c r="A38" s="3238"/>
      <c r="B38" s="2461" t="s">
        <v>2160</v>
      </c>
      <c r="C38" s="727"/>
      <c r="D38" s="2462" t="s">
        <v>2161</v>
      </c>
      <c r="E38" s="1392"/>
      <c r="F38" s="2460"/>
      <c r="G38" s="138"/>
      <c r="H38" s="138"/>
      <c r="I38" s="138"/>
    </row>
    <row r="39" spans="1:15" ht="14.4">
      <c r="A39" s="2433" t="s">
        <v>2162</v>
      </c>
      <c r="B39" s="2463" t="s">
        <v>2163</v>
      </c>
      <c r="C39" s="2464" t="s">
        <v>2164</v>
      </c>
      <c r="D39" s="2464" t="s">
        <v>2165</v>
      </c>
      <c r="E39" s="2465" t="s">
        <v>2166</v>
      </c>
      <c r="F39" s="2460"/>
      <c r="G39" s="138"/>
      <c r="H39" s="138"/>
      <c r="I39" s="138"/>
    </row>
    <row r="40" spans="1:15" ht="13.8">
      <c r="A40" s="2466" t="s">
        <v>2167</v>
      </c>
      <c r="B40" s="158"/>
      <c r="C40" s="159"/>
      <c r="D40" s="159"/>
      <c r="E40" s="160"/>
      <c r="F40" s="2460"/>
      <c r="G40" s="138"/>
      <c r="H40" s="138"/>
      <c r="I40" s="138"/>
    </row>
    <row r="41" spans="1:15" ht="13.8">
      <c r="A41" s="2466" t="s">
        <v>2168</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3"/>
      <c r="B43" s="2163"/>
      <c r="C43" s="2163"/>
      <c r="D43" s="2163"/>
      <c r="E43" s="2163"/>
      <c r="F43" s="2468"/>
      <c r="G43" s="2468"/>
      <c r="H43" s="2468"/>
      <c r="I43" s="2469"/>
    </row>
    <row r="44" spans="1:15" ht="17.399999999999999" hidden="1">
      <c r="A44" s="2470" t="s">
        <v>2169</v>
      </c>
      <c r="B44" s="2471"/>
      <c r="C44" s="2471"/>
      <c r="D44" s="2472"/>
      <c r="E44" s="2472"/>
      <c r="F44" s="2473"/>
      <c r="G44" s="2473"/>
      <c r="H44" s="2473"/>
      <c r="I44" s="2473"/>
      <c r="J44" s="2474" t="s">
        <v>2170</v>
      </c>
      <c r="K44" s="2475"/>
      <c r="L44" s="2475"/>
      <c r="M44" s="2475"/>
      <c r="N44" s="2475"/>
      <c r="O44" s="2475"/>
    </row>
    <row r="45" spans="1:15" ht="14.25" hidden="1" customHeight="1" thickBot="1">
      <c r="A45" s="3253" t="s">
        <v>2171</v>
      </c>
      <c r="B45" s="3254"/>
      <c r="C45" s="3255"/>
      <c r="D45" s="164">
        <f ca="1">ROUND(H101*F45,0)</f>
        <v>54479</v>
      </c>
      <c r="E45" s="165" t="s">
        <v>2172</v>
      </c>
      <c r="F45" s="166">
        <v>1</v>
      </c>
      <c r="G45" s="167" t="s">
        <v>2173</v>
      </c>
      <c r="H45" s="138"/>
      <c r="I45" s="138"/>
      <c r="J45" s="3172" t="s">
        <v>2174</v>
      </c>
      <c r="K45" s="3172"/>
      <c r="L45" s="3172"/>
      <c r="M45" s="3172"/>
      <c r="N45" s="3172"/>
      <c r="O45" s="3172"/>
    </row>
    <row r="46" spans="1:15" ht="14.25" hidden="1" customHeight="1">
      <c r="A46" s="3250" t="s">
        <v>2175</v>
      </c>
      <c r="B46" s="3251"/>
      <c r="C46" s="3251"/>
      <c r="D46" s="3251"/>
      <c r="E46" s="3251"/>
      <c r="F46" s="3251"/>
      <c r="G46" s="3252"/>
      <c r="H46" s="2476"/>
      <c r="I46" s="168"/>
      <c r="J46" s="1809">
        <v>1</v>
      </c>
      <c r="K46" s="3172" t="s">
        <v>2176</v>
      </c>
      <c r="L46" s="3172"/>
      <c r="M46" s="3173"/>
      <c r="N46" s="3173"/>
      <c r="O46" s="3173"/>
    </row>
    <row r="47" spans="1:15" ht="12" hidden="1" customHeight="1">
      <c r="A47" s="169" t="s">
        <v>2177</v>
      </c>
      <c r="B47" s="170"/>
      <c r="C47" s="171"/>
      <c r="D47" s="172" t="s">
        <v>2178</v>
      </c>
      <c r="E47" s="24" t="s">
        <v>2179</v>
      </c>
      <c r="F47" s="173" t="s">
        <v>2180</v>
      </c>
      <c r="G47" s="174" t="s">
        <v>2181</v>
      </c>
      <c r="H47" s="2476"/>
      <c r="I47" s="168"/>
      <c r="J47" s="1809">
        <v>2</v>
      </c>
      <c r="K47" s="3172" t="s">
        <v>2182</v>
      </c>
      <c r="L47" s="3172"/>
      <c r="M47" s="3174">
        <f>'数据-取费表'!B2</f>
        <v>43724</v>
      </c>
      <c r="N47" s="3174"/>
      <c r="O47" s="3174"/>
    </row>
    <row r="48" spans="1:15" ht="26.4" hidden="1">
      <c r="A48" s="3240" t="s">
        <v>2183</v>
      </c>
      <c r="B48" s="3241"/>
      <c r="C48" s="3241"/>
      <c r="D48" s="140">
        <f>IF(H48="情况1",0,IF(H48="情况2",D52,IF(H48="情况3",D53,IF(H48="情况4",D54))))</f>
        <v>0</v>
      </c>
      <c r="E48" s="1798" t="str">
        <f>IF(H48="情况4","(销售额-原购置价)×税（费）率","销售额×税（费）率")</f>
        <v>销售额×税（费）率</v>
      </c>
      <c r="F48" s="175" t="str">
        <f>IF(H48="情况1","免征",'数据-取费表'!B41)</f>
        <v>免征</v>
      </c>
      <c r="G48" s="2477" t="s">
        <v>2184</v>
      </c>
      <c r="H48" s="2478" t="s">
        <v>2185</v>
      </c>
      <c r="I48" s="2476"/>
      <c r="J48" s="1809">
        <v>3</v>
      </c>
      <c r="K48" s="3172" t="s">
        <v>2186</v>
      </c>
      <c r="L48" s="3172"/>
      <c r="M48" s="3175">
        <f ca="1">H101</f>
        <v>54479</v>
      </c>
      <c r="N48" s="3175"/>
      <c r="O48" s="3175"/>
    </row>
    <row r="49" spans="1:35" ht="25.5" hidden="1" customHeight="1">
      <c r="A49" s="176" t="s">
        <v>2187</v>
      </c>
      <c r="B49" s="3220" t="s">
        <v>2188</v>
      </c>
      <c r="C49" s="3220"/>
      <c r="D49" s="177">
        <v>0</v>
      </c>
      <c r="E49" s="23" t="s">
        <v>2189</v>
      </c>
      <c r="F49" s="28" t="s">
        <v>34</v>
      </c>
      <c r="G49" s="3201"/>
      <c r="H49" s="138"/>
      <c r="I49" s="2479"/>
      <c r="J49" s="1809">
        <v>4</v>
      </c>
      <c r="K49" s="3172" t="str">
        <f>IF(项目基本情况!E8="房地产抵押价值","房地产抵押价值","抵押担保权已注销时的房地产抵押价值")</f>
        <v>房地产抵押价值</v>
      </c>
      <c r="L49" s="3172"/>
      <c r="M49" s="3175">
        <f ca="1">IF(项目基本情况!E8="房地产抵押价值",H107,H109)</f>
        <v>54069.38</v>
      </c>
      <c r="N49" s="3175"/>
      <c r="O49" s="3175"/>
    </row>
    <row r="50" spans="1:35" ht="25.5" hidden="1" customHeight="1">
      <c r="A50" s="178"/>
      <c r="B50" s="3220" t="s">
        <v>2190</v>
      </c>
      <c r="C50" s="3220"/>
      <c r="D50" s="179"/>
      <c r="E50" s="31"/>
      <c r="F50" s="180"/>
      <c r="G50" s="3202"/>
      <c r="H50" s="138"/>
      <c r="I50" s="2479"/>
      <c r="J50" s="3172" t="s">
        <v>2191</v>
      </c>
      <c r="K50" s="3172"/>
      <c r="L50" s="3172"/>
      <c r="M50" s="3172"/>
      <c r="N50" s="3172"/>
      <c r="O50" s="3172"/>
    </row>
    <row r="51" spans="1:35" ht="12" hidden="1" customHeight="1">
      <c r="A51" s="181"/>
      <c r="B51" s="3220" t="s">
        <v>2192</v>
      </c>
      <c r="C51" s="3220"/>
      <c r="D51" s="182"/>
      <c r="E51" s="30"/>
      <c r="F51" s="180"/>
      <c r="G51" s="3203"/>
      <c r="H51" s="138"/>
      <c r="I51" s="2479"/>
      <c r="J51" s="2480" t="s">
        <v>2193</v>
      </c>
      <c r="K51" s="3172" t="s">
        <v>2194</v>
      </c>
      <c r="L51" s="3172"/>
      <c r="M51" s="2480" t="s">
        <v>2195</v>
      </c>
      <c r="N51" s="2480" t="s">
        <v>2196</v>
      </c>
      <c r="O51" s="2480" t="s">
        <v>2197</v>
      </c>
    </row>
    <row r="52" spans="1:35" ht="24" hidden="1" customHeight="1">
      <c r="A52" s="183" t="s">
        <v>2198</v>
      </c>
      <c r="B52" s="3220" t="s">
        <v>2199</v>
      </c>
      <c r="C52" s="3220"/>
      <c r="D52" s="182">
        <f ca="1">ROUND(D45*'数据-取费表'!B41/(1+'数据-取费表'!C42),0)</f>
        <v>2906</v>
      </c>
      <c r="E52" s="11" t="s">
        <v>2200</v>
      </c>
      <c r="F52" s="184">
        <f>'数据-取费表'!B41</f>
        <v>5.6000000000000001E-2</v>
      </c>
      <c r="G52" s="2481"/>
      <c r="H52" s="138"/>
      <c r="I52" s="2479"/>
      <c r="J52" s="1809">
        <v>1</v>
      </c>
      <c r="K52" s="3195" t="s">
        <v>2201</v>
      </c>
      <c r="L52" s="3195"/>
      <c r="M52" s="1751">
        <f>D48</f>
        <v>0</v>
      </c>
      <c r="N52" s="1809" t="str">
        <f>E48</f>
        <v>销售额×税（费）率</v>
      </c>
      <c r="O52" s="1752" t="str">
        <f>F48</f>
        <v>免征</v>
      </c>
    </row>
    <row r="53" spans="1:35" ht="12" hidden="1" customHeight="1">
      <c r="A53" s="183" t="s">
        <v>2202</v>
      </c>
      <c r="B53" s="3221" t="s">
        <v>2203</v>
      </c>
      <c r="C53" s="3222"/>
      <c r="D53" s="182">
        <f ca="1">ROUND(D45*'数据-取费表'!B41/(1+'数据-取费表'!C42),0)</f>
        <v>2906</v>
      </c>
      <c r="E53" s="11" t="s">
        <v>2200</v>
      </c>
      <c r="F53" s="184">
        <f>'数据-取费表'!B41</f>
        <v>5.6000000000000001E-2</v>
      </c>
      <c r="G53" s="2481"/>
      <c r="H53" s="138"/>
      <c r="I53" s="2479"/>
      <c r="J53" s="1809">
        <v>2</v>
      </c>
      <c r="K53" s="3195" t="s">
        <v>2204</v>
      </c>
      <c r="L53" s="3195"/>
      <c r="M53" s="1751">
        <f t="shared" ref="M53:O54" ca="1" si="0">D55</f>
        <v>27</v>
      </c>
      <c r="N53" s="1809" t="str">
        <f t="shared" si="0"/>
        <v>销售额×税（费）率</v>
      </c>
      <c r="O53" s="1752">
        <f t="shared" si="0"/>
        <v>5.0000000000000001E-4</v>
      </c>
    </row>
    <row r="54" spans="1:35" ht="12" hidden="1" customHeight="1">
      <c r="A54" s="183" t="s">
        <v>2205</v>
      </c>
      <c r="B54" s="3221" t="s">
        <v>2206</v>
      </c>
      <c r="C54" s="3222"/>
      <c r="D54" s="182">
        <f ca="1">C68</f>
        <v>2906</v>
      </c>
      <c r="E54" s="30" t="s">
        <v>2207</v>
      </c>
      <c r="F54" s="184">
        <f>'数据-取费表'!B41</f>
        <v>5.6000000000000001E-2</v>
      </c>
      <c r="G54" s="2481"/>
      <c r="H54" s="2482"/>
      <c r="I54" s="2479"/>
      <c r="J54" s="1809">
        <v>3</v>
      </c>
      <c r="K54" s="3195" t="s">
        <v>2208</v>
      </c>
      <c r="L54" s="3195"/>
      <c r="M54" s="1751">
        <f t="shared" ca="1" si="0"/>
        <v>30836</v>
      </c>
      <c r="N54" s="1809" t="str">
        <f t="shared" si="0"/>
        <v>增值额×税（费）率</v>
      </c>
      <c r="O54" s="1753" t="str">
        <f t="shared" si="0"/>
        <v>——</v>
      </c>
    </row>
    <row r="55" spans="1:35" ht="24" hidden="1" customHeight="1">
      <c r="A55" s="3259" t="s">
        <v>2209</v>
      </c>
      <c r="B55" s="3241"/>
      <c r="C55" s="3241"/>
      <c r="D55" s="185">
        <f ca="1">IF(H55="个人住宅",0,ROUND(D45*I55,0))</f>
        <v>27</v>
      </c>
      <c r="E55" s="11" t="s">
        <v>2210</v>
      </c>
      <c r="F55" s="184">
        <f>IF(H55="正常",I55,"免征")</f>
        <v>5.0000000000000001E-4</v>
      </c>
      <c r="G55" s="2481"/>
      <c r="H55" s="2478" t="s">
        <v>2211</v>
      </c>
      <c r="I55" s="186">
        <f>'数据-取费表'!B49</f>
        <v>5.0000000000000001E-4</v>
      </c>
      <c r="J55" s="1809" t="str">
        <f>IF(H59="非个人房产","",4)</f>
        <v/>
      </c>
      <c r="K55" s="3195" t="str">
        <f>IF(H59="非个人房产","——","个人所得税")</f>
        <v>——</v>
      </c>
      <c r="L55" s="3195"/>
      <c r="M55" s="1754" t="str">
        <f>D59</f>
        <v>——</v>
      </c>
      <c r="N55" s="1807" t="str">
        <f>E59</f>
        <v>——</v>
      </c>
      <c r="O55" s="1755" t="str">
        <f>F59</f>
        <v>——</v>
      </c>
    </row>
    <row r="56" spans="1:35" ht="25.2" hidden="1">
      <c r="A56" s="3259" t="s">
        <v>2212</v>
      </c>
      <c r="B56" s="3241"/>
      <c r="C56" s="3241"/>
      <c r="D56" s="185">
        <f ca="1">IF(H56="个人住宅",D57,D58)</f>
        <v>30836</v>
      </c>
      <c r="E56" s="11" t="s">
        <v>2213</v>
      </c>
      <c r="F56" s="184" t="str">
        <f>IF(H56="正常",F58,"免征")</f>
        <v>——</v>
      </c>
      <c r="G56" s="2483" t="s">
        <v>2214</v>
      </c>
      <c r="H56" s="2484" t="s">
        <v>2211</v>
      </c>
      <c r="I56" s="2485"/>
      <c r="J56" s="1809" t="str">
        <f>IF(项目基本情况!K6="上海银行",IF(J55="",4,J55+1),"")</f>
        <v/>
      </c>
      <c r="K56" s="3178" t="str">
        <f>IF(项目基本情况!K6="上海银行","其他处置费用","")</f>
        <v/>
      </c>
      <c r="L56" s="3179"/>
      <c r="M56" s="1751" t="str">
        <f>IF(项目基本情况!K6="上海银行",M69,"")</f>
        <v/>
      </c>
      <c r="N56" s="3181" t="str">
        <f>IF(项目基本情况!K6="上海银行","包含处置中涉及的律师、诉讼、拍卖、评估等费用","")</f>
        <v/>
      </c>
      <c r="O56" s="3182"/>
    </row>
    <row r="57" spans="1:35" ht="13.2" hidden="1">
      <c r="A57" s="183" t="s">
        <v>2187</v>
      </c>
      <c r="B57" s="3226" t="s">
        <v>2215</v>
      </c>
      <c r="C57" s="3227"/>
      <c r="D57" s="187">
        <v>0</v>
      </c>
      <c r="E57" s="23" t="s">
        <v>2189</v>
      </c>
      <c r="F57" s="155"/>
      <c r="G57" s="2481"/>
      <c r="H57" s="2485"/>
      <c r="I57" s="2485"/>
      <c r="J57" s="3195">
        <f>IF(AND(J55="",J56=""),4,IF(项目基本情况!K6="上海银行",结果表!J56+1,结果表!J55+1))</f>
        <v>4</v>
      </c>
      <c r="K57" s="3195" t="s">
        <v>2216</v>
      </c>
      <c r="L57" s="2486" t="s">
        <v>2217</v>
      </c>
      <c r="M57" s="1756"/>
      <c r="N57" s="1757">
        <f ca="1">SUMIF(M52:M56,"&lt;9e307")</f>
        <v>30863</v>
      </c>
      <c r="O57" s="2487"/>
      <c r="P57" s="1750">
        <f ca="1">N57/M49</f>
        <v>0.57080366003826932</v>
      </c>
    </row>
    <row r="58" spans="1:35" ht="25.2" hidden="1">
      <c r="A58" s="183" t="s">
        <v>2198</v>
      </c>
      <c r="B58" s="3226" t="s">
        <v>2218</v>
      </c>
      <c r="C58" s="3239"/>
      <c r="D58" s="185">
        <f ca="1">IF(H58="转让取得",C81,C97)</f>
        <v>30836</v>
      </c>
      <c r="E58" s="11" t="s">
        <v>2213</v>
      </c>
      <c r="F58" s="24" t="s">
        <v>34</v>
      </c>
      <c r="G58" s="2481"/>
      <c r="H58" s="2484" t="s">
        <v>2219</v>
      </c>
      <c r="I58" s="2485"/>
      <c r="J58" s="3195"/>
      <c r="K58" s="3195"/>
      <c r="L58" s="2486" t="s">
        <v>2220</v>
      </c>
      <c r="M58" s="1758"/>
      <c r="N58" s="2488" t="str">
        <f ca="1">NUMBERSTRING(INT(N57*10000),2)&amp;"元整"</f>
        <v>叁亿零捌佰陆拾叁万元整</v>
      </c>
      <c r="O58" s="2489"/>
    </row>
    <row r="59" spans="1:35" ht="24.6" hidden="1" thickBot="1">
      <c r="A59" s="3199" t="s">
        <v>2221</v>
      </c>
      <c r="B59" s="3200"/>
      <c r="C59" s="3200"/>
      <c r="D59" s="188" t="str">
        <f>IF(H59="非个人房产","——",IF(H59="个人住宅",0,ROUND(D45*I59,0)))</f>
        <v>——</v>
      </c>
      <c r="E59" s="189" t="str">
        <f>IF(H59="非个人房产","——","销售额×税（费）率")</f>
        <v>——</v>
      </c>
      <c r="F59" s="190" t="str">
        <f>IF(H59="非个人房产","——",IF(H59="个人住宅","免征",I59))</f>
        <v>——</v>
      </c>
      <c r="G59" s="2490" t="s">
        <v>2214</v>
      </c>
      <c r="H59" s="2484" t="s">
        <v>2222</v>
      </c>
      <c r="I59" s="191">
        <v>0.01</v>
      </c>
      <c r="J59" s="3197">
        <f>J57+1</f>
        <v>5</v>
      </c>
      <c r="K59" s="3195" t="s">
        <v>2223</v>
      </c>
      <c r="L59" s="1809" t="s">
        <v>2217</v>
      </c>
      <c r="M59" s="1759"/>
      <c r="N59" s="1760">
        <f ca="1">M49-N57</f>
        <v>23206.379999999997</v>
      </c>
      <c r="O59" s="2491"/>
    </row>
    <row r="60" spans="1:35" ht="12" hidden="1" customHeight="1">
      <c r="A60" s="2492"/>
      <c r="B60" s="2414"/>
      <c r="C60" s="2414"/>
      <c r="D60" s="2414"/>
      <c r="E60" s="2164"/>
      <c r="F60" s="2485"/>
      <c r="G60" s="2485"/>
      <c r="H60" s="2493"/>
      <c r="I60" s="138"/>
      <c r="J60" s="3198"/>
      <c r="K60" s="3195"/>
      <c r="L60" s="2486" t="s">
        <v>2220</v>
      </c>
      <c r="M60" s="1758"/>
      <c r="N60" s="2488" t="str">
        <f ca="1">NUMBERSTRING(INT(N59*10000),2)&amp;"元整"</f>
        <v>贰亿叁仟贰佰零陆万叁仟捌佰元整</v>
      </c>
      <c r="O60" s="2489"/>
    </row>
    <row r="61" spans="1:35" ht="13.8" hidden="1" thickBot="1">
      <c r="A61" s="3258" t="s">
        <v>2224</v>
      </c>
      <c r="B61" s="3258"/>
      <c r="C61" s="3258"/>
      <c r="D61" s="3258"/>
      <c r="E61" s="3258"/>
      <c r="F61" s="2485"/>
      <c r="G61" s="2485"/>
      <c r="H61" s="2493"/>
      <c r="I61" s="138"/>
      <c r="J61" s="1809">
        <f>J59+1</f>
        <v>6</v>
      </c>
      <c r="K61" s="3195" t="s">
        <v>2225</v>
      </c>
      <c r="L61" s="3195"/>
      <c r="M61" s="1761"/>
      <c r="N61" s="1762">
        <f ca="1">ROUND(N59*10000/'数据-汇总表'!E3,0)</f>
        <v>4183</v>
      </c>
      <c r="O61" s="2494"/>
    </row>
    <row r="62" spans="1:35" ht="13.2" hidden="1">
      <c r="A62" s="3215" t="s">
        <v>2226</v>
      </c>
      <c r="B62" s="3216"/>
      <c r="C62" s="1801"/>
      <c r="D62" s="1801" t="s">
        <v>2227</v>
      </c>
      <c r="E62" s="192" t="s">
        <v>2228</v>
      </c>
      <c r="F62" s="2485"/>
      <c r="G62" s="2485"/>
      <c r="H62" s="2493"/>
      <c r="I62" s="138"/>
    </row>
    <row r="63" spans="1:35" ht="13.2" hidden="1">
      <c r="A63" s="203" t="s">
        <v>775</v>
      </c>
      <c r="B63" s="193" t="s">
        <v>2229</v>
      </c>
      <c r="C63" s="194">
        <f ca="1">ROUND((C64+C65)/(1+'数据-取费表'!C42),0)</f>
        <v>51885</v>
      </c>
      <c r="D63" s="195"/>
      <c r="E63" s="196"/>
      <c r="F63" s="2485"/>
      <c r="G63" s="2485"/>
      <c r="H63" s="2493"/>
      <c r="I63" s="138"/>
      <c r="J63" s="3180" t="s">
        <v>2230</v>
      </c>
      <c r="K63" s="2495" t="s">
        <v>2231</v>
      </c>
      <c r="L63" s="1749">
        <f ca="1">IF(M49&gt;10000,M49*0.5%,IF(AND(M49&gt;1000,M49&lt;=10000),M49*1%,IF(AND(M49&gt;100,M49&lt;=1000),M49*3%,IF(AND(M49&gt;10,M49&lt;=100),M49*5%,M49*8%))))</f>
        <v>270.34690000000001</v>
      </c>
      <c r="M63" s="24">
        <f ca="1">ROUND(L63,1)</f>
        <v>270.3</v>
      </c>
      <c r="Z63" s="2419"/>
      <c r="AI63" s="2420"/>
    </row>
    <row r="64" spans="1:35" ht="14.25" hidden="1" customHeight="1">
      <c r="A64" s="197" t="s">
        <v>770</v>
      </c>
      <c r="B64" s="198" t="s">
        <v>2232</v>
      </c>
      <c r="C64" s="199">
        <f ca="1">D45</f>
        <v>54479</v>
      </c>
      <c r="D64" s="200" t="s">
        <v>32</v>
      </c>
      <c r="E64" s="201"/>
      <c r="F64" s="2485"/>
      <c r="G64" s="2485"/>
      <c r="H64" s="2493"/>
      <c r="I64" s="138"/>
      <c r="J64" s="3180"/>
      <c r="K64" s="2495" t="s">
        <v>2233</v>
      </c>
      <c r="L64" s="1749">
        <f ca="1">IF(M49&gt;2000,M49*0.5%,IF(AND(M49&gt;1000,M49&lt;=2000),M49*0.6%,IF(AND(M49&gt;500,M49&lt;=1000),M49*0.7%,IF(AND(M49&gt;200,M49&lt;=500),M49*0.8%,IF(AND(M49&gt;100,M49&lt;=200),M49*0.9%,IF(AND(M49&gt;50,M49&lt;=100),M49*1%,IF(AND(M49&gt;20,M49&lt;=50),M49*1.5%,IF(AND(M49&gt;10,M49&lt;=20),M49*2%,IF(AND(M49&gt;1,M49&lt;=10),M49*2.5%)))))))))</f>
        <v>270.34690000000001</v>
      </c>
      <c r="M64" s="24">
        <f t="shared" ref="M64:M65" ca="1" si="1">ROUND(L64,1)</f>
        <v>270.3</v>
      </c>
      <c r="N64" s="138" t="s">
        <v>2234</v>
      </c>
      <c r="Z64" s="2419"/>
      <c r="AI64" s="2420"/>
    </row>
    <row r="65" spans="1:35" ht="14.25" hidden="1" customHeight="1">
      <c r="A65" s="197" t="s">
        <v>771</v>
      </c>
      <c r="B65" s="198" t="s">
        <v>2235</v>
      </c>
      <c r="C65" s="202"/>
      <c r="D65" s="200"/>
      <c r="E65" s="201"/>
      <c r="F65" s="2485"/>
      <c r="G65" s="2485"/>
      <c r="H65" s="2493"/>
      <c r="I65" s="138"/>
      <c r="J65" s="3180"/>
      <c r="K65" s="2495" t="s">
        <v>2236</v>
      </c>
      <c r="L65" s="1749">
        <f ca="1">IF(M49&gt;1000,M49*0.1%,IF(AND(M49&gt;500,M49&lt;=1000),M49*0.5%,IF(AND(M49&gt;50,M49&lt;=500),M49*1%,IF(AND(M49&gt;1,M49&lt;=50),M49*1.5%))))</f>
        <v>54.069379999999995</v>
      </c>
      <c r="M65" s="24">
        <f t="shared" ca="1" si="1"/>
        <v>54.1</v>
      </c>
      <c r="N65" s="138" t="s">
        <v>2234</v>
      </c>
      <c r="Z65" s="2419"/>
      <c r="AI65" s="2420"/>
    </row>
    <row r="66" spans="1:35" ht="14.25" hidden="1" customHeight="1">
      <c r="A66" s="203" t="s">
        <v>772</v>
      </c>
      <c r="B66" s="204" t="s">
        <v>2237</v>
      </c>
      <c r="C66" s="205"/>
      <c r="D66" s="206" t="s">
        <v>32</v>
      </c>
      <c r="E66" s="1773" t="s">
        <v>1367</v>
      </c>
      <c r="F66" s="2485"/>
      <c r="G66" s="2485"/>
      <c r="H66" s="2493"/>
      <c r="I66" s="138"/>
      <c r="J66" s="3180"/>
      <c r="K66" s="2495" t="s">
        <v>2238</v>
      </c>
      <c r="L66" s="1749">
        <f ca="1">M49*0.5%</f>
        <v>270.34690000000001</v>
      </c>
      <c r="M66" s="24">
        <f ca="1">IF(L66&gt;0.5,0.5,ROUND(L66,0))</f>
        <v>0.5</v>
      </c>
      <c r="N66" s="138" t="s">
        <v>2239</v>
      </c>
      <c r="Z66" s="2419"/>
      <c r="AI66" s="2420"/>
    </row>
    <row r="67" spans="1:35" ht="14.25" hidden="1" customHeight="1">
      <c r="A67" s="203" t="s">
        <v>773</v>
      </c>
      <c r="B67" s="204" t="s">
        <v>2240</v>
      </c>
      <c r="C67" s="207">
        <f ca="1">C63-C66</f>
        <v>51885</v>
      </c>
      <c r="D67" s="200" t="s">
        <v>32</v>
      </c>
      <c r="E67" s="201"/>
      <c r="F67" s="2485"/>
      <c r="G67" s="2485"/>
      <c r="H67" s="2493"/>
      <c r="I67" s="138"/>
      <c r="J67" s="3180"/>
      <c r="K67" s="2495" t="s">
        <v>2241</v>
      </c>
      <c r="L67" s="1749">
        <f ca="1">IF(M49&gt;=10000,(8.25+(M49-10000)*0.01%),IF(AND(M49&gt;=8000,M49&lt;10000),(7.85+(M49-8000)*0.02%),IF(AND(M49&gt;=5000,M49&lt;8000),(6.65+(M49-5000)*0.04%),IF(AND(M49&gt;=2000,M49&lt;5000),(4.25+(PM49-2000)*0.08%),IF(AND(M49&gt;=1000,M49&lt;2000),(2.75+(M49-1000)*0.15%),IF(AND(M49&gt;=100,M49&lt;1000),(0.5+(M49-100)*0.25%),IF(AND(M49&gt;0,M49&lt;100),M49*0.5%)))))))</f>
        <v>12.656938</v>
      </c>
      <c r="M67" s="24">
        <f ca="1">ROUND(L67*0.9,1)</f>
        <v>11.4</v>
      </c>
      <c r="Z67" s="2419"/>
      <c r="AI67" s="2420"/>
    </row>
    <row r="68" spans="1:35" ht="14.25" hidden="1" customHeight="1" thickBot="1">
      <c r="A68" s="208" t="s">
        <v>774</v>
      </c>
      <c r="B68" s="209" t="s">
        <v>2242</v>
      </c>
      <c r="C68" s="210">
        <f ca="1">IF(C67&lt;=0,0,ROUND(C67*D68,0))</f>
        <v>2906</v>
      </c>
      <c r="D68" s="211">
        <f>'数据-取费表'!B41</f>
        <v>5.6000000000000001E-2</v>
      </c>
      <c r="E68" s="212"/>
      <c r="F68" s="2485"/>
      <c r="G68" s="2485"/>
      <c r="H68" s="2493"/>
      <c r="I68" s="138"/>
      <c r="J68" s="3180"/>
      <c r="K68" s="2495" t="s">
        <v>2243</v>
      </c>
      <c r="L68" s="1749">
        <f ca="1">IF(M49&gt;10000,M49*0.5%,IF(AND(M49&gt;5000,M49&lt;=10000),M49*1%,IF(AND(M49&gt;1000,M49&lt;=5000),M49*2%,IF(AND(M49&gt;200,M49&lt;=1000),M49*3%,M49*5%))))</f>
        <v>270.34690000000001</v>
      </c>
      <c r="M68" s="24">
        <f ca="1">ROUND(L68,1)</f>
        <v>270.3</v>
      </c>
      <c r="Z68" s="2419"/>
      <c r="AI68" s="2420"/>
    </row>
    <row r="69" spans="1:35" s="2442" customFormat="1" ht="16.5" hidden="1" customHeight="1">
      <c r="A69" s="2496"/>
      <c r="B69" s="2497"/>
      <c r="C69" s="2498"/>
      <c r="D69" s="2499"/>
      <c r="E69" s="2500"/>
      <c r="F69" s="2164"/>
      <c r="G69" s="2164"/>
      <c r="H69" s="2163"/>
      <c r="I69" s="2414"/>
      <c r="J69" s="3180"/>
      <c r="K69" s="2495" t="s">
        <v>2244</v>
      </c>
      <c r="L69" s="2501"/>
      <c r="M69" s="24">
        <f ca="1">ROUND(SUM(M63:M68),0)</f>
        <v>877</v>
      </c>
      <c r="N69" s="1750">
        <f ca="1">M69/M49</f>
        <v>1.6219901171420869E-2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hidden="1" thickBot="1">
      <c r="A70" s="3224" t="s">
        <v>2245</v>
      </c>
      <c r="B70" s="3225"/>
      <c r="C70" s="3225"/>
      <c r="D70" s="3225"/>
      <c r="E70" s="3225"/>
      <c r="F70" s="3225"/>
      <c r="G70" s="3225"/>
      <c r="H70" s="322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hidden="1">
      <c r="A71" s="3215" t="s">
        <v>2226</v>
      </c>
      <c r="B71" s="3216"/>
      <c r="C71" s="1801"/>
      <c r="D71" s="1801" t="s">
        <v>2227</v>
      </c>
      <c r="E71" s="213" t="s">
        <v>2228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hidden="1">
      <c r="A72" s="203" t="s">
        <v>775</v>
      </c>
      <c r="B72" s="204" t="s">
        <v>2246</v>
      </c>
      <c r="C72" s="207">
        <f ca="1">ROUND(D45/(1+'数据-取费表'!C42),0)</f>
        <v>51885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hidden="1">
      <c r="A73" s="203" t="s">
        <v>772</v>
      </c>
      <c r="B73" s="173" t="s">
        <v>2247</v>
      </c>
      <c r="C73" s="207">
        <f ca="1">C74+C78</f>
        <v>311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hidden="1">
      <c r="A75" s="217" t="s">
        <v>776</v>
      </c>
      <c r="B75" s="198" t="s">
        <v>2249</v>
      </c>
      <c r="C75" s="218"/>
      <c r="D75" s="200" t="s">
        <v>32</v>
      </c>
      <c r="E75" s="219" t="s">
        <v>2250</v>
      </c>
      <c r="F75" s="2507" t="s">
        <v>2251</v>
      </c>
      <c r="G75" s="219" t="s">
        <v>2252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2253</v>
      </c>
      <c r="C76" s="200">
        <f>IF(F75="购房发票",ROUND(C75*H75*D76,0),0)</f>
        <v>0</v>
      </c>
      <c r="D76" s="222">
        <v>0.05</v>
      </c>
      <c r="E76" s="3221" t="s">
        <v>2254</v>
      </c>
      <c r="F76" s="3220"/>
      <c r="G76" s="3220"/>
      <c r="H76" s="322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2255</v>
      </c>
      <c r="C77" s="200">
        <f>ROUND(IF(G77="个人住宅",0,IF(G77="2016年5月1日前购买",C75*D77,C75*D77/(1+'数据-取费表'!C42))),0)</f>
        <v>0</v>
      </c>
      <c r="D77" s="223">
        <f>'数据-取费表'!B48+'数据-取费表'!B49</f>
        <v>4.0500000000000001E-2</v>
      </c>
      <c r="E77" s="15" t="s">
        <v>2256</v>
      </c>
      <c r="F77" s="224"/>
      <c r="G77" s="2509" t="s">
        <v>2257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2258</v>
      </c>
      <c r="C78" s="225">
        <f ca="1">ROUND(D45*D78/(1+'数据-取费表'!C42),0)</f>
        <v>311</v>
      </c>
      <c r="D78" s="226">
        <f>'数据-取费表'!B43</f>
        <v>6.000000000000001E-3</v>
      </c>
      <c r="E78" s="3212" t="s">
        <v>2259</v>
      </c>
      <c r="F78" s="3213"/>
      <c r="G78" s="3213"/>
      <c r="H78" s="321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hidden="1">
      <c r="A79" s="2511" t="s">
        <v>779</v>
      </c>
      <c r="B79" s="204" t="s">
        <v>2260</v>
      </c>
      <c r="C79" s="207">
        <f ca="1">C72-C73</f>
        <v>51574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2261</v>
      </c>
      <c r="C80" s="227">
        <f ca="1">IF(C79&lt;=0,0,C79/C73)</f>
        <v>165.83279742765274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hidden="1" thickBot="1">
      <c r="A81" s="2512" t="s">
        <v>781</v>
      </c>
      <c r="B81" s="209" t="s">
        <v>2262</v>
      </c>
      <c r="C81" s="228">
        <f ca="1">ROUND(IF(C79&lt;=0,0,IF(C80&gt;=200%,C79*60%-C73*35%,IF(C80&gt;=100%,C79*50%-C73*15%,IF(C80&gt;=50%,C79*40%-C73*5%,IF(C80&lt;50%,C79*30%,0))))),0)</f>
        <v>30836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hidden="1" thickBot="1">
      <c r="A83" s="3224" t="s">
        <v>2263</v>
      </c>
      <c r="B83" s="3225"/>
      <c r="C83" s="3225"/>
      <c r="D83" s="3225"/>
      <c r="E83" s="3225"/>
      <c r="F83" s="3225"/>
      <c r="G83" s="3225"/>
      <c r="H83" s="322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hidden="1">
      <c r="A84" s="3215" t="s">
        <v>2226</v>
      </c>
      <c r="B84" s="3216"/>
      <c r="C84" s="1801"/>
      <c r="D84" s="1801" t="s">
        <v>2227</v>
      </c>
      <c r="E84" s="213" t="s">
        <v>2228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hidden="1">
      <c r="A85" s="203" t="s">
        <v>775</v>
      </c>
      <c r="B85" s="204" t="s">
        <v>2246</v>
      </c>
      <c r="C85" s="207">
        <f ca="1">ROUND(D45/(1+'数据-取费表'!C42),0)</f>
        <v>51885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hidden="1">
      <c r="A86" s="203" t="s">
        <v>772</v>
      </c>
      <c r="B86" s="173" t="s">
        <v>2247</v>
      </c>
      <c r="C86" s="207">
        <f ca="1">IF(H88="仅含出让金",C87+C90+C91+C92+C93+C94,C87+C91+C92+C93+C94)</f>
        <v>311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hidden="1">
      <c r="A87" s="217" t="s">
        <v>770</v>
      </c>
      <c r="B87" s="198" t="s">
        <v>2264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hidden="1">
      <c r="A88" s="217" t="s">
        <v>776</v>
      </c>
      <c r="B88" s="198" t="s">
        <v>2265</v>
      </c>
      <c r="C88" s="236"/>
      <c r="D88" s="226"/>
      <c r="E88" s="237" t="s">
        <v>2266</v>
      </c>
      <c r="F88" s="1797"/>
      <c r="G88" s="238" t="s">
        <v>2267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hidden="1">
      <c r="A89" s="217" t="s">
        <v>777</v>
      </c>
      <c r="B89" s="198" t="s">
        <v>2255</v>
      </c>
      <c r="C89" s="225">
        <f>ROUND(C88*D89,0)</f>
        <v>0</v>
      </c>
      <c r="D89" s="226">
        <f>'数据-取费表'!B48+'数据-取费表'!B49</f>
        <v>4.0500000000000001E-2</v>
      </c>
      <c r="E89" s="237" t="s">
        <v>2268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hidden="1">
      <c r="A90" s="217" t="s">
        <v>771</v>
      </c>
      <c r="B90" s="198" t="s">
        <v>2269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2270</v>
      </c>
      <c r="B91" s="198" t="s">
        <v>2271</v>
      </c>
      <c r="C91" s="225">
        <f>IF(H91="——",成本法!C33,I91)</f>
        <v>0</v>
      </c>
      <c r="D91" s="226"/>
      <c r="E91" s="3212" t="s">
        <v>2272</v>
      </c>
      <c r="F91" s="3213"/>
      <c r="G91" s="3213"/>
      <c r="H91" s="2514" t="s">
        <v>2273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2274</v>
      </c>
      <c r="B92" s="198" t="s">
        <v>2275</v>
      </c>
      <c r="C92" s="225">
        <f>ROUND((C87+C90+C91)*D92,0)</f>
        <v>0</v>
      </c>
      <c r="D92" s="226">
        <v>0.1</v>
      </c>
      <c r="E92" s="3212" t="s">
        <v>2276</v>
      </c>
      <c r="F92" s="3213"/>
      <c r="G92" s="3213"/>
      <c r="H92" s="321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2277</v>
      </c>
      <c r="B93" s="198" t="s">
        <v>2258</v>
      </c>
      <c r="C93" s="225">
        <f ca="1">ROUND(D45*D93/(1+'数据-取费表'!C42),0)</f>
        <v>311</v>
      </c>
      <c r="D93" s="226">
        <f>'数据-取费表'!B43</f>
        <v>6.000000000000001E-3</v>
      </c>
      <c r="E93" s="3212" t="s">
        <v>2259</v>
      </c>
      <c r="F93" s="3213"/>
      <c r="G93" s="3213"/>
      <c r="H93" s="321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2278</v>
      </c>
      <c r="B94" s="198" t="s">
        <v>2279</v>
      </c>
      <c r="C94" s="236">
        <f>ROUND((C87+C90+C91)*D94,0)</f>
        <v>0</v>
      </c>
      <c r="D94" s="226">
        <v>0.2</v>
      </c>
      <c r="E94" s="3260" t="s">
        <v>2280</v>
      </c>
      <c r="F94" s="3261"/>
      <c r="G94" s="3261"/>
      <c r="H94" s="326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hidden="1">
      <c r="A95" s="2511" t="s">
        <v>779</v>
      </c>
      <c r="B95" s="204" t="s">
        <v>2260</v>
      </c>
      <c r="C95" s="207">
        <f ca="1">ROUND(C85-C86,0)</f>
        <v>51574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2261</v>
      </c>
      <c r="C96" s="227">
        <f ca="1">IF(C95&lt;=0,0,C95/C86)</f>
        <v>165.83279742765274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hidden="1" thickBot="1">
      <c r="A97" s="2512" t="s">
        <v>781</v>
      </c>
      <c r="B97" s="209" t="s">
        <v>2262</v>
      </c>
      <c r="C97" s="228">
        <f ca="1">ROUND(IF(C95&lt;=0,0,IF(C96&gt;=200%,C95*60%-C86*35%,IF(C96&gt;=100%,C95*50%-C86*15%,IF(C96&gt;=50%,C95*40%-C86*5%,IF(C96&lt;50%,C95*30%,0))))),0)</f>
        <v>30836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2281</v>
      </c>
      <c r="B99" s="2414"/>
      <c r="C99" s="2414"/>
      <c r="D99" s="2414"/>
      <c r="E99" s="2164"/>
      <c r="F99" s="2164"/>
      <c r="G99" s="2164"/>
      <c r="H99" s="2163"/>
      <c r="I99" s="138"/>
    </row>
    <row r="100" spans="1:35" ht="18.75" customHeight="1">
      <c r="A100" s="3164" t="s">
        <v>2282</v>
      </c>
      <c r="B100" s="3165"/>
      <c r="C100" s="3165"/>
      <c r="D100" s="3196"/>
      <c r="E100" s="3165" t="s">
        <v>2283</v>
      </c>
      <c r="F100" s="3165"/>
      <c r="G100" s="3165"/>
      <c r="H100" s="3196"/>
      <c r="I100" s="138"/>
    </row>
    <row r="101" spans="1:35" ht="18.75" customHeight="1">
      <c r="A101" s="3204" t="s">
        <v>2284</v>
      </c>
      <c r="B101" s="3205"/>
      <c r="C101" s="736" t="str">
        <f>C4</f>
        <v>成本法</v>
      </c>
      <c r="D101" s="737" t="str">
        <f>D4</f>
        <v>假设开发法</v>
      </c>
      <c r="E101" s="3176" t="s">
        <v>2285</v>
      </c>
      <c r="F101" s="3177"/>
      <c r="G101" s="2516" t="s">
        <v>2286</v>
      </c>
      <c r="H101" s="1045">
        <f ca="1">H118</f>
        <v>54479</v>
      </c>
      <c r="I101" s="138"/>
    </row>
    <row r="102" spans="1:35" ht="18.75" customHeight="1">
      <c r="A102" s="3206" t="s">
        <v>2287</v>
      </c>
      <c r="B102" s="2516" t="s">
        <v>2286</v>
      </c>
      <c r="C102" s="736">
        <f ca="1">C19</f>
        <v>55121</v>
      </c>
      <c r="D102" s="737">
        <f ca="1">D19</f>
        <v>53836</v>
      </c>
      <c r="E102" s="3176"/>
      <c r="F102" s="3177"/>
      <c r="G102" s="2516" t="s">
        <v>2288</v>
      </c>
      <c r="H102" s="371">
        <f ca="1">I118</f>
        <v>10023</v>
      </c>
      <c r="I102" s="138"/>
    </row>
    <row r="103" spans="1:35" ht="42.75" customHeight="1">
      <c r="A103" s="3206"/>
      <c r="B103" s="2516" t="s">
        <v>2288</v>
      </c>
      <c r="C103" s="738">
        <f ca="1">C20</f>
        <v>10141</v>
      </c>
      <c r="D103" s="739">
        <f ca="1">D20</f>
        <v>9905</v>
      </c>
      <c r="E103" s="3170" t="s">
        <v>2289</v>
      </c>
      <c r="F103" s="3171"/>
      <c r="G103" s="2517" t="s">
        <v>2290</v>
      </c>
      <c r="H103" s="1045">
        <f>IF(D36="正常操作",H104+H105+H106,H105+H106)</f>
        <v>409.62</v>
      </c>
      <c r="I103" s="138"/>
    </row>
    <row r="104" spans="1:35" ht="18.75" customHeight="1">
      <c r="A104" s="3206" t="s">
        <v>2291</v>
      </c>
      <c r="B104" s="2518" t="s">
        <v>2286</v>
      </c>
      <c r="C104" s="740">
        <f ca="1">H118</f>
        <v>54479</v>
      </c>
      <c r="D104" s="741"/>
      <c r="E104" s="2265" t="s">
        <v>2292</v>
      </c>
      <c r="F104" s="2256"/>
      <c r="G104" s="2517" t="s">
        <v>2290</v>
      </c>
      <c r="H104" s="1046">
        <f>IF(D36="同一抵押权人同一抵押物续贷",C36&amp;"（未扣减，详见特别提示）",C36)</f>
        <v>0</v>
      </c>
      <c r="I104" s="138"/>
    </row>
    <row r="105" spans="1:35" ht="18.75" customHeight="1" thickBot="1">
      <c r="A105" s="3218"/>
      <c r="B105" s="2519" t="s">
        <v>2288</v>
      </c>
      <c r="C105" s="742">
        <f ca="1">I118</f>
        <v>10023</v>
      </c>
      <c r="D105" s="743"/>
      <c r="E105" s="2265" t="s">
        <v>2293</v>
      </c>
      <c r="F105" s="2256"/>
      <c r="G105" s="2517" t="s">
        <v>2290</v>
      </c>
      <c r="H105" s="1046">
        <f>C37</f>
        <v>409.62</v>
      </c>
      <c r="I105" s="138"/>
    </row>
    <row r="106" spans="1:35" ht="18.75" customHeight="1">
      <c r="A106" s="2414" t="s">
        <v>2294</v>
      </c>
      <c r="B106" s="2414"/>
      <c r="C106" s="2414"/>
      <c r="D106" s="2414"/>
      <c r="E106" s="2520" t="s">
        <v>2295</v>
      </c>
      <c r="F106" s="2256"/>
      <c r="G106" s="2517" t="s">
        <v>2290</v>
      </c>
      <c r="H106" s="1046">
        <f>C38</f>
        <v>0</v>
      </c>
      <c r="I106" s="138"/>
    </row>
    <row r="107" spans="1:35" ht="18.75" customHeight="1">
      <c r="A107" s="138"/>
      <c r="B107" s="138"/>
      <c r="C107" s="138"/>
      <c r="D107" s="138"/>
      <c r="E107" s="3207" t="str">
        <f>IF(项目基本情况!E8="已注销","——","3.房地产抵押价值")</f>
        <v>3.房地产抵押价值</v>
      </c>
      <c r="F107" s="3177"/>
      <c r="G107" s="2516" t="s">
        <v>2286</v>
      </c>
      <c r="H107" s="1045">
        <f ca="1">IF(E107="——","——",H101-H103)</f>
        <v>54069.38</v>
      </c>
      <c r="I107" s="138"/>
    </row>
    <row r="108" spans="1:35" ht="18.75" customHeight="1">
      <c r="A108" s="138"/>
      <c r="B108" s="138"/>
      <c r="C108" s="138"/>
      <c r="D108" s="138"/>
      <c r="E108" s="3207"/>
      <c r="F108" s="3177"/>
      <c r="G108" s="2516" t="s">
        <v>2288</v>
      </c>
      <c r="H108" s="371">
        <f ca="1">ROUND(H107*10000/'数据-汇总表'!E3,0)</f>
        <v>9747</v>
      </c>
      <c r="I108" s="138"/>
    </row>
    <row r="109" spans="1:35" ht="18.75" customHeight="1">
      <c r="A109" s="138"/>
      <c r="B109" s="138"/>
      <c r="C109" s="138"/>
      <c r="D109" s="138"/>
      <c r="E109" s="3207" t="str">
        <f>IF(项目基本情况!E8="已注销及未注销","4.抵押担保权已注销时的房地产抵押价值",IF(项目基本情况!E8="已注销","3.抵押担保权已注销时的房地产抵押价值","——"))</f>
        <v>——</v>
      </c>
      <c r="F109" s="3177"/>
      <c r="G109" s="2516" t="s">
        <v>2286</v>
      </c>
      <c r="H109" s="348" t="str">
        <f>IF(E109="——","——",H101-H105-H106)</f>
        <v>——</v>
      </c>
      <c r="I109" s="138"/>
    </row>
    <row r="110" spans="1:35" ht="18.75" customHeight="1">
      <c r="A110" s="138"/>
      <c r="B110" s="138"/>
      <c r="C110" s="138"/>
      <c r="D110" s="138"/>
      <c r="E110" s="3207"/>
      <c r="F110" s="3177"/>
      <c r="G110" s="2516" t="s">
        <v>2288</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16" t="s">
        <v>2286</v>
      </c>
      <c r="H111" s="1045" t="str">
        <f>IF(E111="——","——",N59)</f>
        <v>——</v>
      </c>
      <c r="I111" s="138"/>
    </row>
    <row r="112" spans="1:35" ht="18.75" customHeight="1" thickBot="1">
      <c r="A112" s="138"/>
      <c r="B112" s="138"/>
      <c r="C112" s="138"/>
      <c r="D112" s="138"/>
      <c r="E112" s="3210"/>
      <c r="F112" s="3211"/>
      <c r="G112" s="2521" t="s">
        <v>2288</v>
      </c>
      <c r="H112" s="790" t="str">
        <f>IF(E111="——","——",N61)</f>
        <v>——</v>
      </c>
      <c r="I112" s="138"/>
    </row>
    <row r="113" spans="1:11" ht="18.75" customHeight="1">
      <c r="A113" s="138"/>
      <c r="B113" s="138"/>
      <c r="C113" s="138"/>
      <c r="D113" s="138"/>
      <c r="E113" s="3219" t="s">
        <v>2294</v>
      </c>
      <c r="F113" s="3219"/>
      <c r="G113" s="3219"/>
      <c r="H113" s="3219"/>
      <c r="I113" s="138"/>
    </row>
    <row r="114" spans="1:11" ht="3.75" customHeight="1">
      <c r="A114" s="2414"/>
      <c r="B114" s="2414"/>
      <c r="C114" s="2414"/>
      <c r="D114" s="2414"/>
      <c r="E114" s="2492"/>
      <c r="F114" s="2492"/>
      <c r="G114" s="2492"/>
      <c r="H114" s="2492"/>
      <c r="I114" s="2414"/>
    </row>
    <row r="115" spans="1:11" ht="18.75" customHeight="1">
      <c r="A115" s="3232" t="s">
        <v>2296</v>
      </c>
      <c r="B115" s="3233"/>
      <c r="C115" s="3233"/>
      <c r="D115" s="3233"/>
      <c r="E115" s="3233"/>
      <c r="F115" s="3233"/>
      <c r="G115" s="3233"/>
      <c r="H115" s="3233"/>
      <c r="I115" s="3234"/>
    </row>
    <row r="116" spans="1:11" ht="27" customHeight="1">
      <c r="A116" s="3143" t="s">
        <v>2297</v>
      </c>
      <c r="B116" s="3186" t="s">
        <v>2298</v>
      </c>
      <c r="C116" s="3186" t="s">
        <v>2299</v>
      </c>
      <c r="D116" s="3192" t="s">
        <v>2300</v>
      </c>
      <c r="E116" s="3193"/>
      <c r="F116" s="3228" t="s">
        <v>2301</v>
      </c>
      <c r="G116" s="3228"/>
      <c r="H116" s="3143" t="s">
        <v>2302</v>
      </c>
      <c r="I116" s="3143"/>
    </row>
    <row r="117" spans="1:11" ht="18.75" customHeight="1">
      <c r="A117" s="3143"/>
      <c r="B117" s="3187"/>
      <c r="C117" s="3187"/>
      <c r="D117" s="1795" t="s">
        <v>2303</v>
      </c>
      <c r="E117" s="1795" t="s">
        <v>2304</v>
      </c>
      <c r="F117" s="1795" t="s">
        <v>2303</v>
      </c>
      <c r="G117" s="1795" t="s">
        <v>2305</v>
      </c>
      <c r="H117" s="1795" t="s">
        <v>2303</v>
      </c>
      <c r="I117" s="1795" t="s">
        <v>2305</v>
      </c>
    </row>
    <row r="118" spans="1:11" ht="24.75" customHeight="1">
      <c r="A118" s="2522" t="str">
        <f>项目基本情况!S2</f>
        <v>武汉市东西湖区A地块出让国有建设用地使用权及在建建筑物房地产</v>
      </c>
      <c r="B118" s="1795">
        <f>M18</f>
        <v>54353.540000000015</v>
      </c>
      <c r="C118" s="1795">
        <f>M19</f>
        <v>16242.02</v>
      </c>
      <c r="D118" s="1795">
        <f ca="1">ROUND(IF(D32="总价",C34,E118*B118/10000),0)</f>
        <v>38569</v>
      </c>
      <c r="E118" s="1795">
        <f ca="1">ROUND(IF(C33="自定义",IF(D32="楼面单价",C34,D118*10000/B118),I118-G118),0)</f>
        <v>7096</v>
      </c>
      <c r="F118" s="1795">
        <f ca="1">ROUND(IF(D32="总价",C35,G118*B118/10000),0)</f>
        <v>15909</v>
      </c>
      <c r="G118" s="1795">
        <f ca="1">ROUND(IF(D32="楼面单价",C35,F118*10000/B118),0)</f>
        <v>2927</v>
      </c>
      <c r="H118" s="1795">
        <f ca="1">ROUND(IF(D32="总价",C32,I118*B118/10000),0)</f>
        <v>54479</v>
      </c>
      <c r="I118" s="1795">
        <f ca="1">ROUND(IF(D32="楼面单价",C32,H118*10000/B118),0)</f>
        <v>10023</v>
      </c>
    </row>
    <row r="119" spans="1:11" ht="18.75" customHeight="1">
      <c r="A119" s="3143" t="s">
        <v>2306</v>
      </c>
      <c r="B119" s="3143"/>
      <c r="C119" s="3143"/>
      <c r="D119" s="3188" t="str">
        <f ca="1">NUMBERSTRING(INT(D118*10000),2)&amp;"元整"</f>
        <v>叁亿捌仟伍佰陆拾玖万元整</v>
      </c>
      <c r="E119" s="3189"/>
      <c r="F119" s="3188" t="str">
        <f ca="1">NUMBERSTRING(INT(F118*10000),2)&amp;"元整"</f>
        <v>壹亿伍仟玖佰零玖万元整</v>
      </c>
      <c r="G119" s="3189"/>
      <c r="H119" s="3188" t="str">
        <f ca="1">NUMBERSTRING(INT(H118*10000),2)&amp;"元整"</f>
        <v>伍亿肆仟肆佰柒拾玖万元整</v>
      </c>
      <c r="I119" s="3189"/>
    </row>
    <row r="120" spans="1:11" ht="18.75" customHeight="1">
      <c r="A120" s="3183" t="str">
        <f>IF(项目基本情况!B9="房地产市场价值","",MID(E103,3,LEN(E103)-2))</f>
        <v>估价师知悉的法定优先受偿款</v>
      </c>
      <c r="B120" s="3184"/>
      <c r="C120" s="3185"/>
      <c r="D120" s="3183">
        <f>H103</f>
        <v>409.62</v>
      </c>
      <c r="E120" s="3184"/>
      <c r="F120" s="3184"/>
      <c r="G120" s="3184"/>
      <c r="H120" s="3184"/>
      <c r="I120" s="3185"/>
      <c r="K120" s="2419" t="str">
        <f>IF(D120=0,"故，本次评估不存在"&amp;A120,"故，本次评估"&amp;A120&amp;"为人民币"&amp;D120&amp;"万元整。")</f>
        <v>故，本次评估估价师知悉的法定优先受偿款为人民币409.62万元整。</v>
      </c>
    </row>
    <row r="121" spans="1:11" ht="18.75" customHeight="1">
      <c r="A121" s="3229" t="s">
        <v>2306</v>
      </c>
      <c r="B121" s="3230"/>
      <c r="C121" s="3231"/>
      <c r="D121" s="3188" t="str">
        <f>IF(D120=0,"零元整",NUMBERSTRING(INT(D120*10000),2)&amp;"元整")</f>
        <v>肆佰零玖万陆仟贰佰元整</v>
      </c>
      <c r="E121" s="3190"/>
      <c r="F121" s="3190"/>
      <c r="G121" s="3190"/>
      <c r="H121" s="3190"/>
      <c r="I121" s="3189"/>
    </row>
    <row r="122" spans="1:11" ht="18.75" customHeight="1">
      <c r="A122" s="3194" t="str">
        <f>IF(项目基本情况!B9="房地产市场价值","",MID(E107,3,LEN(E107)-2))</f>
        <v>房地产抵押价值</v>
      </c>
      <c r="B122" s="3194"/>
      <c r="C122" s="3194"/>
      <c r="D122" s="3183">
        <f ca="1">H107</f>
        <v>54069.38</v>
      </c>
      <c r="E122" s="3184"/>
      <c r="F122" s="3184"/>
      <c r="G122" s="3184"/>
      <c r="H122" s="3184"/>
      <c r="I122" s="3185"/>
    </row>
    <row r="123" spans="1:11" ht="18.75" customHeight="1">
      <c r="A123" s="3143" t="s">
        <v>2306</v>
      </c>
      <c r="B123" s="3143"/>
      <c r="C123" s="3143"/>
      <c r="D123" s="3188" t="str">
        <f ca="1">NUMBERSTRING(INT(D122*10000),2)&amp;"元整"</f>
        <v>伍亿肆仟零陆拾玖万叁仟捌佰元整</v>
      </c>
      <c r="E123" s="3190"/>
      <c r="F123" s="3190"/>
      <c r="G123" s="3190"/>
      <c r="H123" s="3190"/>
      <c r="I123" s="3189"/>
    </row>
    <row r="124" spans="1:11" ht="18.75" customHeight="1">
      <c r="A124" s="3194" t="str">
        <f>IF(项目基本情况!B9="房地产市场价值","",MID(E109,3,LEN(E109)-2))</f>
        <v/>
      </c>
      <c r="B124" s="3194"/>
      <c r="C124" s="3194"/>
      <c r="D124" s="3183" t="str">
        <f>H109</f>
        <v>——</v>
      </c>
      <c r="E124" s="3184"/>
      <c r="F124" s="3184"/>
      <c r="G124" s="3184"/>
      <c r="H124" s="3184"/>
      <c r="I124" s="3185"/>
    </row>
    <row r="125" spans="1:11" ht="18.75" customHeight="1">
      <c r="A125" s="3143" t="s">
        <v>2306</v>
      </c>
      <c r="B125" s="3143"/>
      <c r="C125" s="3143"/>
      <c r="D125" s="3188" t="e">
        <f>NUMBERSTRING(INT(D124*10000),2)&amp;"元整"</f>
        <v>#VALUE!</v>
      </c>
      <c r="E125" s="3190"/>
      <c r="F125" s="3190"/>
      <c r="G125" s="3190"/>
      <c r="H125" s="3190"/>
      <c r="I125" s="3189"/>
    </row>
    <row r="126" spans="1:11" ht="18.75" customHeight="1">
      <c r="A126" s="3194" t="str">
        <f>IF(项目基本情况!B9="房地产市场价值","",MID(E111,3,LEN(E111)-2))</f>
        <v/>
      </c>
      <c r="B126" s="3194"/>
      <c r="C126" s="3194"/>
      <c r="D126" s="3183" t="str">
        <f>H111</f>
        <v>——</v>
      </c>
      <c r="E126" s="3184"/>
      <c r="F126" s="3184"/>
      <c r="G126" s="3184"/>
      <c r="H126" s="3184"/>
      <c r="I126" s="3185"/>
    </row>
    <row r="127" spans="1:11" ht="18.75" customHeight="1">
      <c r="A127" s="3143" t="s">
        <v>2306</v>
      </c>
      <c r="B127" s="3143"/>
      <c r="C127" s="3143"/>
      <c r="D127" s="3188" t="e">
        <f>NUMBERSTRING(INT(D126*10000),2)&amp;"元整"</f>
        <v>#VALUE!</v>
      </c>
      <c r="E127" s="3190"/>
      <c r="F127" s="3190"/>
      <c r="G127" s="3190"/>
      <c r="H127" s="3190"/>
      <c r="I127" s="3189"/>
    </row>
    <row r="128" spans="1:11" ht="21.75" customHeight="1">
      <c r="A128" s="3191" t="s">
        <v>2307</v>
      </c>
      <c r="B128" s="3191"/>
      <c r="C128" s="3191"/>
      <c r="D128" s="3191"/>
      <c r="E128" s="3191"/>
      <c r="F128" s="3191"/>
      <c r="G128" s="3191"/>
      <c r="H128" s="3191"/>
      <c r="I128" s="3191"/>
    </row>
    <row r="129" spans="1:35" ht="21.75" customHeight="1">
      <c r="A129" s="2523" t="s">
        <v>2308</v>
      </c>
      <c r="B129" s="2524"/>
      <c r="C129" s="2525" t="s">
        <v>2309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2310</v>
      </c>
      <c r="G135" s="2540"/>
      <c r="H135" s="2540"/>
      <c r="I135" s="2541" t="s">
        <v>2311</v>
      </c>
    </row>
    <row r="136" spans="1:35" ht="21.75" customHeight="1">
      <c r="A136" s="795"/>
      <c r="B136" s="2542"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2313</v>
      </c>
    </row>
    <row r="139" spans="1:35" ht="21.75" customHeight="1">
      <c r="A139" s="795"/>
      <c r="B139" s="2542" t="s">
        <v>2314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34" sqref="C3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2315</v>
      </c>
      <c r="B1" s="1936" t="s">
        <v>3078</v>
      </c>
      <c r="C1" s="242"/>
      <c r="D1" s="242"/>
      <c r="E1" s="242"/>
      <c r="F1" s="242"/>
      <c r="G1" s="1379">
        <f>MATCH(B1,'数据-取费表'!A6:A16,0)+5</f>
        <v>6</v>
      </c>
    </row>
    <row r="2" spans="1:9" s="244" customFormat="1" ht="18" customHeight="1">
      <c r="A2" s="245" t="s">
        <v>2316</v>
      </c>
      <c r="B2" s="246">
        <f ca="1">IF(D2="——",C52,C52-E2)</f>
        <v>55121</v>
      </c>
      <c r="C2" s="243" t="s">
        <v>2317</v>
      </c>
      <c r="D2" s="2545" t="s">
        <v>70</v>
      </c>
      <c r="E2" s="1440" t="e">
        <f ca="1">SUMIF(INDIRECT("'"&amp;G2&amp;"'"&amp;"!A:A"),"承租人权益价值",INDIRECT("'"&amp;G2&amp;"'"&amp;"!c:c"))</f>
        <v>#REF!</v>
      </c>
      <c r="F2" s="2546" t="s">
        <v>2317</v>
      </c>
      <c r="G2" s="2547"/>
    </row>
    <row r="3" spans="1:9" s="244" customFormat="1" ht="18" customHeight="1" thickBot="1">
      <c r="A3" s="247" t="s">
        <v>2318</v>
      </c>
      <c r="B3" s="248">
        <f ca="1">ROUND(B2*10000/(IF(B1="",'数据-汇总表'!E3,INDIRECT("'数据-取费表'!k"&amp;$G$1))),0)</f>
        <v>10141</v>
      </c>
      <c r="C3" s="243" t="s">
        <v>2319</v>
      </c>
      <c r="D3" s="243"/>
      <c r="E3" s="243"/>
      <c r="F3" s="243"/>
      <c r="G3" s="243"/>
    </row>
    <row r="4" spans="1:9" s="252" customFormat="1" ht="16.2">
      <c r="A4" s="249" t="s">
        <v>2320</v>
      </c>
      <c r="B4" s="250"/>
      <c r="C4" s="250"/>
      <c r="D4" s="250"/>
      <c r="E4" s="250"/>
      <c r="F4" s="250"/>
      <c r="G4" s="251"/>
    </row>
    <row r="5" spans="1:9" s="258" customFormat="1" ht="13.5" customHeight="1">
      <c r="A5" s="299" t="s">
        <v>2321</v>
      </c>
      <c r="B5" s="254" t="s">
        <v>2322</v>
      </c>
      <c r="C5" s="255">
        <f>C6+C7+C8</f>
        <v>30387</v>
      </c>
      <c r="D5" s="255" t="s">
        <v>2323</v>
      </c>
      <c r="E5" s="256" t="s">
        <v>2324</v>
      </c>
      <c r="F5" s="256" t="s">
        <v>2325</v>
      </c>
      <c r="G5" s="257"/>
    </row>
    <row r="6" spans="1:9" s="258" customFormat="1" ht="13.5" customHeight="1">
      <c r="A6" s="949" t="s">
        <v>2326</v>
      </c>
      <c r="B6" s="259" t="s">
        <v>2327</v>
      </c>
      <c r="C6" s="260">
        <f>ROUND('土地比较法-住宅、综合'!C47*'数据-汇总表'!F19/10000,0)</f>
        <v>29204</v>
      </c>
      <c r="D6" s="261"/>
      <c r="E6" s="262"/>
      <c r="F6" s="262"/>
      <c r="G6" s="263"/>
    </row>
    <row r="7" spans="1:9" s="258" customFormat="1" ht="13.5" customHeight="1">
      <c r="A7" s="949" t="s">
        <v>2328</v>
      </c>
      <c r="B7" s="259" t="s">
        <v>2329</v>
      </c>
      <c r="C7" s="264">
        <f>ROUND(C6*F7,0)</f>
        <v>1183</v>
      </c>
      <c r="D7" s="264"/>
      <c r="E7" s="262"/>
      <c r="F7" s="265">
        <f>IF(项目基本情况!B8="出让",0,'数据-取费表'!B48+'数据-取费表'!B49)</f>
        <v>4.0500000000000001E-2</v>
      </c>
      <c r="G7" s="263"/>
    </row>
    <row r="8" spans="1:9" s="267" customFormat="1">
      <c r="A8" s="949" t="s">
        <v>2330</v>
      </c>
      <c r="B8" s="259" t="s">
        <v>2331</v>
      </c>
      <c r="C8" s="264">
        <f>IF(G8="已包含在土地购买价格中","0",IF(B1="",'数据-取费表'!B29,IF(G9="全部缴纳",C9+C10,H9)))</f>
        <v>0</v>
      </c>
      <c r="D8" s="266"/>
      <c r="E8" s="264"/>
      <c r="F8" s="265"/>
      <c r="G8" s="2548" t="s">
        <v>3206</v>
      </c>
    </row>
    <row r="9" spans="1:9" s="258" customFormat="1" ht="13.5" customHeight="1">
      <c r="A9" s="950" t="s">
        <v>800</v>
      </c>
      <c r="B9" s="268" t="s">
        <v>2332</v>
      </c>
      <c r="C9" s="269">
        <f ca="1">ROUND(D9*E9/10000,0)</f>
        <v>544</v>
      </c>
      <c r="D9" s="1032">
        <f ca="1">IF(B1="",'数据-汇总表'!E5,IF(INDIRECT("'数据-取费表'!c"&amp;$G$1)="住宅",INDIRECT("'数据-取费表'!k"&amp;$G$1),0))</f>
        <v>54353.540000000015</v>
      </c>
      <c r="E9" s="269">
        <f>'数据-取费表'!B27</f>
        <v>100</v>
      </c>
      <c r="F9" s="265"/>
      <c r="G9" s="2549"/>
      <c r="H9" s="1390">
        <v>0</v>
      </c>
      <c r="I9" s="2550" t="s">
        <v>2333</v>
      </c>
    </row>
    <row r="10" spans="1:9" s="258" customFormat="1" ht="13.5" customHeight="1">
      <c r="A10" s="950" t="s">
        <v>801</v>
      </c>
      <c r="B10" s="268" t="s">
        <v>2334</v>
      </c>
      <c r="C10" s="269">
        <f ca="1">ROUND(D10*E10/10000,0)</f>
        <v>0</v>
      </c>
      <c r="D10" s="1032">
        <f ca="1">IF(B1="",'数据-汇总表'!E6,IF(INDIRECT("'数据-取费表'!c"&amp;$G$1)="住宅",INDIRECT("'数据-取费表'!s"&amp;$G$1),INDIRECT("'数据-取费表'!k"&amp;$G$1)+INDIRECT("'数据-取费表'!s"&amp;$G$1)))</f>
        <v>0</v>
      </c>
      <c r="E10" s="269">
        <f>'数据-取费表'!B28</f>
        <v>100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54353.540000000015</v>
      </c>
      <c r="E19" s="255">
        <f>'数据-取费表'!B31</f>
        <v>200</v>
      </c>
      <c r="F19" s="275"/>
      <c r="G19" s="2548" t="s">
        <v>3207</v>
      </c>
    </row>
    <row r="20" spans="1:7" s="258" customFormat="1" ht="13.5" customHeight="1">
      <c r="A20" s="299" t="s">
        <v>2347</v>
      </c>
      <c r="B20" s="254" t="s">
        <v>2348</v>
      </c>
      <c r="C20" s="276">
        <f>ROUND((C5+C19)*F20,0)</f>
        <v>912</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1918</v>
      </c>
      <c r="D22" s="279">
        <f ca="1">C26</f>
        <v>8.9999999999999998E-4</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1890</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28</v>
      </c>
      <c r="D25" s="282"/>
      <c r="E25" s="285"/>
      <c r="F25" s="283"/>
      <c r="G25" s="286" t="s">
        <v>2364</v>
      </c>
    </row>
    <row r="26" spans="1:7" s="258" customFormat="1">
      <c r="A26" s="951" t="s">
        <v>795</v>
      </c>
      <c r="B26" s="259" t="s">
        <v>2365</v>
      </c>
      <c r="C26" s="282">
        <f ca="1">ROUND(IF('数据-取费表'!B22&lt;=1,F21*F22*'数据-取费表'!B23/2,F21*(POWER((1+F22),'数据-取费表'!B23/2)-1)),4)</f>
        <v>8.9999999999999998E-4</v>
      </c>
      <c r="D26" s="282"/>
      <c r="E26" s="285"/>
      <c r="F26" s="283"/>
      <c r="G26" s="287"/>
    </row>
    <row r="27" spans="1:7" s="258" customFormat="1" ht="26.4">
      <c r="A27" s="299" t="s">
        <v>2366</v>
      </c>
      <c r="B27" s="288" t="s">
        <v>2367</v>
      </c>
      <c r="C27" s="289">
        <f ca="1">C28</f>
        <v>2441</v>
      </c>
      <c r="D27" s="279">
        <f ca="1">C29</f>
        <v>2.3E-3</v>
      </c>
      <c r="E27" s="280" t="s">
        <v>2368</v>
      </c>
      <c r="F27" s="290">
        <f ca="1">IF(B1="",'数据-取费表'!Q16,INDIRECT("'数据-取费表'!q"&amp;$G$1))</f>
        <v>0.15</v>
      </c>
      <c r="G27" s="291" t="s">
        <v>2369</v>
      </c>
    </row>
    <row r="28" spans="1:7" s="258" customFormat="1" ht="13.5" customHeight="1">
      <c r="A28" s="951" t="s">
        <v>791</v>
      </c>
      <c r="B28" s="292" t="s">
        <v>2370</v>
      </c>
      <c r="C28" s="293">
        <f ca="1">ROUND((C5+C19+C20)*F27*'数据-取费表'!B21/'数据-取费表'!B20,0)</f>
        <v>2441</v>
      </c>
      <c r="D28" s="279"/>
      <c r="E28" s="280"/>
      <c r="F28" s="290"/>
      <c r="G28" s="291"/>
    </row>
    <row r="29" spans="1:7" s="258" customFormat="1" ht="13.5" customHeight="1">
      <c r="A29" s="951" t="s">
        <v>792</v>
      </c>
      <c r="B29" s="292" t="s">
        <v>2371</v>
      </c>
      <c r="C29" s="282">
        <f ca="1">ROUND(C21*F27*'数据-取费表'!B21/'数据-取费表'!B20,4)</f>
        <v>2.3E-3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39034</v>
      </c>
      <c r="D31" s="274"/>
      <c r="E31" s="255"/>
      <c r="F31" s="294"/>
      <c r="G31" s="278" t="s">
        <v>2376</v>
      </c>
    </row>
    <row r="32" spans="1:7" s="252" customFormat="1" ht="16.2">
      <c r="A32" s="296" t="s">
        <v>2377</v>
      </c>
      <c r="B32" s="297"/>
      <c r="C32" s="297"/>
      <c r="D32" s="297"/>
      <c r="E32" s="297"/>
      <c r="F32" s="297"/>
      <c r="G32" s="298"/>
    </row>
    <row r="33" spans="1:7" s="258" customFormat="1" ht="13.5" customHeight="1">
      <c r="A33" s="299" t="s">
        <v>782</v>
      </c>
      <c r="B33" s="254" t="s">
        <v>2378</v>
      </c>
      <c r="C33" s="300">
        <f ca="1">SUM(C34:C38)</f>
        <v>12055</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10463</v>
      </c>
      <c r="D34" s="261"/>
      <c r="E34" s="264"/>
      <c r="F34" s="301">
        <f ca="1">IF('数据-取费表'!B24=0,1,IF(B1="",'数据-取费表'!N16,INDIRECT("'数据-取费表'!n"&amp;$G$1)))</f>
        <v>0.55000000000000004</v>
      </c>
      <c r="G34" s="263" t="s">
        <v>2380</v>
      </c>
    </row>
    <row r="35" spans="1:7" ht="13.5" customHeight="1">
      <c r="A35" s="951" t="s">
        <v>796</v>
      </c>
      <c r="B35" s="259" t="s">
        <v>2381</v>
      </c>
      <c r="C35" s="264">
        <f ca="1">ROUND(C34*F35,0)</f>
        <v>314</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523</v>
      </c>
      <c r="D36" s="264"/>
      <c r="E36" s="264"/>
      <c r="F36" s="303">
        <f>'数据-取费表'!B34</f>
        <v>0.05</v>
      </c>
      <c r="G36" s="304" t="s">
        <v>2384</v>
      </c>
    </row>
    <row r="37" spans="1:7" s="302" customFormat="1" ht="13.5" customHeight="1">
      <c r="A37" s="951" t="s">
        <v>798</v>
      </c>
      <c r="B37" s="259" t="s">
        <v>2385</v>
      </c>
      <c r="C37" s="293">
        <f ca="1">ROUND(E37*D37*F34/10000,0)</f>
        <v>598</v>
      </c>
      <c r="D37" s="261">
        <f ca="1">D19</f>
        <v>54353.540000000015</v>
      </c>
      <c r="E37" s="293">
        <f>'数据-取费表'!B35</f>
        <v>200</v>
      </c>
      <c r="F37" s="303"/>
      <c r="G37" s="305" t="s">
        <v>2386</v>
      </c>
    </row>
    <row r="38" spans="1:7" ht="13.5" customHeight="1">
      <c r="A38" s="951" t="s">
        <v>799</v>
      </c>
      <c r="B38" s="259" t="s">
        <v>2387</v>
      </c>
      <c r="C38" s="264">
        <f ca="1">ROUND(C34*F38,0)</f>
        <v>157</v>
      </c>
      <c r="D38" s="264"/>
      <c r="E38" s="264"/>
      <c r="F38" s="303">
        <f>'数据-取费表'!B36</f>
        <v>1.4999999999999999E-2</v>
      </c>
      <c r="G38" s="263" t="s">
        <v>2382</v>
      </c>
    </row>
    <row r="39" spans="1:7" s="258" customFormat="1" ht="13.5" customHeight="1">
      <c r="A39" s="299" t="s">
        <v>2388</v>
      </c>
      <c r="B39" s="254" t="s">
        <v>2389</v>
      </c>
      <c r="C39" s="276">
        <f ca="1">ROUND(C33*F20,0)</f>
        <v>362</v>
      </c>
      <c r="D39" s="276"/>
      <c r="E39" s="276"/>
      <c r="F39" s="277"/>
      <c r="G39" s="278" t="s">
        <v>2390</v>
      </c>
    </row>
    <row r="40" spans="1:7" s="258" customFormat="1" ht="13.5" customHeight="1">
      <c r="A40" s="299" t="s">
        <v>2391</v>
      </c>
      <c r="B40" s="254" t="s">
        <v>2392</v>
      </c>
      <c r="C40" s="1728">
        <f>F21</f>
        <v>0.03</v>
      </c>
      <c r="D40" s="280" t="s">
        <v>2393</v>
      </c>
      <c r="E40" s="276"/>
      <c r="F40" s="277"/>
      <c r="G40" s="278" t="s">
        <v>2394</v>
      </c>
    </row>
    <row r="41" spans="1:7" s="258" customFormat="1" ht="13.5" customHeight="1">
      <c r="A41" s="299" t="s">
        <v>2395</v>
      </c>
      <c r="B41" s="254" t="s">
        <v>2396</v>
      </c>
      <c r="C41" s="276">
        <f ca="1">ROUND(SUM(C42:C43),0)</f>
        <v>380</v>
      </c>
      <c r="D41" s="279">
        <f ca="1">C44</f>
        <v>8.9999999999999998E-4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369</v>
      </c>
      <c r="D42" s="282"/>
      <c r="E42" s="282"/>
      <c r="F42" s="283"/>
      <c r="G42" s="3263" t="s">
        <v>2398</v>
      </c>
    </row>
    <row r="43" spans="1:7" ht="13.5" customHeight="1">
      <c r="A43" s="951" t="s">
        <v>792</v>
      </c>
      <c r="B43" s="259" t="s">
        <v>2399</v>
      </c>
      <c r="C43" s="282">
        <f ca="1">ROUND(IF('数据-取费表'!B22&lt;=1,C39*F22*'数据-取费表'!B21/2,C39*(POWER((1+F22),'数据-取费表'!B21/2)-1)),0)</f>
        <v>11</v>
      </c>
      <c r="D43" s="282"/>
      <c r="E43" s="282"/>
      <c r="F43" s="283"/>
      <c r="G43" s="3264"/>
    </row>
    <row r="44" spans="1:7" ht="13.5" customHeight="1">
      <c r="A44" s="951" t="s">
        <v>793</v>
      </c>
      <c r="B44" s="259" t="s">
        <v>2400</v>
      </c>
      <c r="C44" s="282">
        <f ca="1">ROUND(IF('数据-取费表'!B22&lt;=1,C40*F22*'数据-取费表'!B21/2,C40*(POWER((1+F22),'数据-取费表'!B21/2)-1)),4)</f>
        <v>8.9999999999999998E-4</v>
      </c>
      <c r="D44" s="282"/>
      <c r="E44" s="282"/>
      <c r="F44" s="283"/>
      <c r="G44" s="3265"/>
    </row>
    <row r="45" spans="1:7" s="258" customFormat="1" ht="13.5" customHeight="1">
      <c r="A45" s="299" t="s">
        <v>2401</v>
      </c>
      <c r="B45" s="288" t="s">
        <v>2367</v>
      </c>
      <c r="C45" s="289">
        <f ca="1">C46</f>
        <v>1863</v>
      </c>
      <c r="D45" s="279">
        <f ca="1">C47</f>
        <v>4.4999999999999997E-3</v>
      </c>
      <c r="E45" s="280" t="s">
        <v>2393</v>
      </c>
      <c r="F45" s="290"/>
      <c r="G45" s="291" t="s">
        <v>2402</v>
      </c>
    </row>
    <row r="46" spans="1:7" s="258" customFormat="1" ht="13.5" customHeight="1">
      <c r="A46" s="951" t="s">
        <v>791</v>
      </c>
      <c r="B46" s="292" t="s">
        <v>2403</v>
      </c>
      <c r="C46" s="293">
        <f ca="1">ROUND((C33+C39)*F27,0)</f>
        <v>1863</v>
      </c>
      <c r="D46" s="307"/>
      <c r="E46" s="280"/>
      <c r="F46" s="290"/>
      <c r="G46" s="291"/>
    </row>
    <row r="47" spans="1:7" s="258" customFormat="1" ht="13.5" customHeight="1">
      <c r="A47" s="951" t="s">
        <v>792</v>
      </c>
      <c r="B47" s="292" t="s">
        <v>2404</v>
      </c>
      <c r="C47" s="282">
        <f ca="1">ROUND(C40*F27,4)</f>
        <v>4.4999999999999997E-3</v>
      </c>
      <c r="D47" s="307"/>
      <c r="E47" s="280"/>
      <c r="F47" s="290"/>
      <c r="G47" s="291"/>
    </row>
    <row r="48" spans="1:7" s="258" customFormat="1" ht="13.5" customHeight="1">
      <c r="A48" s="299" t="s">
        <v>2366</v>
      </c>
      <c r="B48" s="254" t="s">
        <v>2405</v>
      </c>
      <c r="C48" s="1728">
        <f>ROUND(F30/(1+'数据-取费表'!C42),4)</f>
        <v>5.33E-2</v>
      </c>
      <c r="D48" s="280" t="s">
        <v>2393</v>
      </c>
      <c r="E48" s="276"/>
      <c r="F48" s="281"/>
      <c r="G48" s="278" t="s">
        <v>2406</v>
      </c>
    </row>
    <row r="49" spans="1:7" ht="16.5" customHeight="1">
      <c r="A49" s="299" t="s">
        <v>2372</v>
      </c>
      <c r="B49" s="254" t="s">
        <v>2407</v>
      </c>
      <c r="C49" s="276">
        <f ca="1">ROUND((C33+C39+C41+C45)/(1-C40-D41-D45-C48),0)</f>
        <v>16087</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16087</v>
      </c>
      <c r="D51" s="276"/>
      <c r="E51" s="276"/>
      <c r="F51" s="308"/>
      <c r="G51" s="278" t="s">
        <v>2414</v>
      </c>
    </row>
    <row r="52" spans="1:7" s="252" customFormat="1" ht="16.8" thickBot="1">
      <c r="A52" s="309" t="s">
        <v>2415</v>
      </c>
      <c r="B52" s="310"/>
      <c r="C52" s="311">
        <f ca="1">C31+C51</f>
        <v>55121</v>
      </c>
      <c r="D52" s="310"/>
      <c r="E52" s="310"/>
      <c r="F52" s="310"/>
      <c r="G52" s="312"/>
    </row>
    <row r="55" spans="1:7" ht="15">
      <c r="B55" s="314" t="s">
        <v>2416</v>
      </c>
      <c r="C55" s="315"/>
    </row>
    <row r="56" spans="1:7">
      <c r="B56" s="317" t="s">
        <v>1508</v>
      </c>
      <c r="C56" s="319">
        <f ca="1">1-C57</f>
        <v>0.70799999999999996</v>
      </c>
    </row>
    <row r="57" spans="1:7">
      <c r="B57" s="317" t="s">
        <v>1509</v>
      </c>
      <c r="C57" s="318">
        <f ca="1">ROUND(C51/C52,3)</f>
        <v>0.29199999999999998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77" t="str">
        <f>项目基本情况!B1</f>
        <v>武汉市东西湖区A地块出让国有建设用地使用权及在建建筑物房地产抵押价值预评估</v>
      </c>
      <c r="C37" s="3077"/>
      <c r="D37" s="3077"/>
      <c r="E37" s="3077"/>
      <c r="F37" s="3077"/>
      <c r="G37" s="3077"/>
      <c r="H37" s="3077"/>
      <c r="I37" s="3077"/>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2315</v>
      </c>
      <c r="B1" s="1936"/>
      <c r="C1" s="2551"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32903</v>
      </c>
      <c r="C2" s="243" t="s">
        <v>2317</v>
      </c>
      <c r="D2" s="2545" t="s">
        <v>70</v>
      </c>
      <c r="E2" s="1440" t="e">
        <f ca="1">SUMIF(INDIRECT("'"&amp;G2&amp;"'"&amp;"!A:A"),"承租人权益价值",INDIRECT("'"&amp;G2&amp;"'"&amp;"!c:c"))</f>
        <v>#REF!</v>
      </c>
      <c r="F2" s="2546" t="s">
        <v>2317</v>
      </c>
      <c r="G2" s="2547"/>
    </row>
    <row r="3" spans="1:8" s="244" customFormat="1" ht="18" customHeight="1" thickBot="1">
      <c r="A3" s="247" t="s">
        <v>2318</v>
      </c>
      <c r="B3" s="248">
        <f ca="1">ROUND(B2*10000/(IF(B1="",'数据-汇总表'!E3,INDIRECT("'数据-取费表'!k"&amp;$G$1))),0)</f>
        <v>5931</v>
      </c>
      <c r="C3" s="243" t="s">
        <v>2319</v>
      </c>
      <c r="D3" s="243"/>
      <c r="E3" s="243"/>
      <c r="F3" s="243"/>
      <c r="G3" s="243"/>
    </row>
    <row r="4" spans="1:8" s="252" customFormat="1" ht="16.2">
      <c r="A4" s="249" t="s">
        <v>2320</v>
      </c>
      <c r="B4" s="250"/>
      <c r="C4" s="250"/>
      <c r="D4" s="250"/>
      <c r="E4" s="250"/>
      <c r="F4" s="250"/>
      <c r="G4" s="251"/>
    </row>
    <row r="5" spans="1:8" s="258" customFormat="1" ht="13.5" customHeight="1">
      <c r="A5" s="299" t="s">
        <v>2321</v>
      </c>
      <c r="B5" s="254" t="s">
        <v>2322</v>
      </c>
      <c r="C5" s="255">
        <f ca="1">C6+C7+C8</f>
        <v>5547446</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4.0500000000000001E-2</v>
      </c>
      <c r="G7" s="263"/>
    </row>
    <row r="8" spans="1:8" s="267" customFormat="1">
      <c r="A8" s="949" t="s">
        <v>2330</v>
      </c>
      <c r="B8" s="259" t="s">
        <v>2331</v>
      </c>
      <c r="C8" s="264">
        <f ca="1">IF(G8="已包含在土地购买价格中",0,C9+C10)</f>
        <v>5547446</v>
      </c>
      <c r="D8" s="266"/>
      <c r="E8" s="264"/>
      <c r="F8" s="265"/>
      <c r="G8" s="2548"/>
    </row>
    <row r="9" spans="1:8" s="258" customFormat="1" ht="13.5" customHeight="1">
      <c r="A9" s="950" t="s">
        <v>800</v>
      </c>
      <c r="B9" s="268" t="s">
        <v>2332</v>
      </c>
      <c r="C9" s="269">
        <f ca="1">ROUND(D9*E9,0)</f>
        <v>5435354</v>
      </c>
      <c r="D9" s="1032">
        <f ca="1">IF(B1="",'数据-汇总表'!E5,IF(INDIRECT("'数据-取费表'!c"&amp;$G$1)="住宅",INDIRECT("'数据-取费表'!k"&amp;$G$1),0))</f>
        <v>54353.540000000015</v>
      </c>
      <c r="E9" s="269">
        <f>'数据-取费表'!B27</f>
        <v>100</v>
      </c>
      <c r="F9" s="265"/>
      <c r="G9" s="270"/>
    </row>
    <row r="10" spans="1:8" s="258" customFormat="1" ht="13.5" customHeight="1">
      <c r="A10" s="950" t="s">
        <v>801</v>
      </c>
      <c r="B10" s="268" t="s">
        <v>2334</v>
      </c>
      <c r="C10" s="269">
        <f ca="1">ROUND(D10*E10,0)</f>
        <v>112092</v>
      </c>
      <c r="D10" s="1032">
        <f ca="1">IF(B1="",'数据-汇总表'!E6,IF(INDIRECT("'数据-取费表'!c"&amp;$G$1)="住宅",INDIRECT("'数据-取费表'!s"&amp;$G$1),INDIRECT("'数据-取费表'!k"&amp;$G$1)+INDIRECT("'数据-取费表'!s"&amp;$G$1)))</f>
        <v>1120.9199999999983</v>
      </c>
      <c r="E10" s="269">
        <f>'数据-取费表'!B28</f>
        <v>100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11094892</v>
      </c>
      <c r="D19" s="1036">
        <f ca="1">D9+D10</f>
        <v>55474.460000000014</v>
      </c>
      <c r="E19" s="255">
        <f>'数据-取费表'!B31</f>
        <v>200</v>
      </c>
      <c r="F19" s="275"/>
      <c r="G19" s="2548"/>
    </row>
    <row r="20" spans="1:7" s="258" customFormat="1" ht="13.5" customHeight="1">
      <c r="A20" s="299" t="s">
        <v>2428</v>
      </c>
      <c r="B20" s="254" t="s">
        <v>2429</v>
      </c>
      <c r="C20" s="276">
        <f ca="1">ROUND((C5+C19)*F20,0)</f>
        <v>499270</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0">
        <f ca="1">ROUND(SUM(C23:C25),0)</f>
        <v>2077054</v>
      </c>
      <c r="D22" s="279">
        <f ca="1">C26</f>
        <v>1.8E-3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682412</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1364824</v>
      </c>
      <c r="D24" s="282"/>
      <c r="E24" s="282"/>
      <c r="F24" s="283"/>
      <c r="G24" s="284" t="s">
        <v>2440</v>
      </c>
    </row>
    <row r="25" spans="1:7" s="258" customFormat="1" ht="24">
      <c r="A25" s="951" t="s">
        <v>2330</v>
      </c>
      <c r="B25" s="259" t="s">
        <v>2441</v>
      </c>
      <c r="C25" s="1381">
        <f ca="1">ROUND(IF('数据-取费表'!B22&lt;=1,C20*F22*'数据-取费表'!B22/2,C20*(POWER((1+F22),'数据-取费表'!B22/2)-1)),0)</f>
        <v>29818</v>
      </c>
      <c r="D25" s="282"/>
      <c r="E25" s="285"/>
      <c r="F25" s="283"/>
      <c r="G25" s="286" t="s">
        <v>2442</v>
      </c>
    </row>
    <row r="26" spans="1:7" s="258" customFormat="1">
      <c r="A26" s="951" t="s">
        <v>795</v>
      </c>
      <c r="B26" s="259" t="s">
        <v>2365</v>
      </c>
      <c r="C26" s="282">
        <f ca="1">ROUND(IF('数据-取费表'!B22&lt;=1,F21*F22*'数据-取费表'!B22/2,F21*(POWER((1+F22),'数据-取费表'!B22/2)-1)),4)</f>
        <v>1.8E-3</v>
      </c>
      <c r="D26" s="282"/>
      <c r="E26" s="285"/>
      <c r="F26" s="283"/>
      <c r="G26" s="287"/>
    </row>
    <row r="27" spans="1:7" s="258" customFormat="1" ht="26.4">
      <c r="A27" s="299" t="s">
        <v>2366</v>
      </c>
      <c r="B27" s="288" t="s">
        <v>2367</v>
      </c>
      <c r="C27" s="289">
        <f ca="1">C28</f>
        <v>2571241</v>
      </c>
      <c r="D27" s="279">
        <f ca="1">C29</f>
        <v>4.4999999999999997E-3</v>
      </c>
      <c r="E27" s="280" t="s">
        <v>2368</v>
      </c>
      <c r="F27" s="290">
        <f ca="1">IF(B1="",'数据-取费表'!Q16,INDIRECT("'数据-取费表'!q"&amp;$G$1))</f>
        <v>0.15</v>
      </c>
      <c r="G27" s="291" t="s">
        <v>2369</v>
      </c>
    </row>
    <row r="28" spans="1:7" s="258" customFormat="1" ht="13.5" customHeight="1">
      <c r="A28" s="951" t="s">
        <v>791</v>
      </c>
      <c r="B28" s="292" t="s">
        <v>2370</v>
      </c>
      <c r="C28" s="293">
        <f ca="1">ROUND((C5+C19+C20)*F27,0)</f>
        <v>2571241</v>
      </c>
      <c r="D28" s="279"/>
      <c r="E28" s="280"/>
      <c r="F28" s="290"/>
      <c r="G28" s="291"/>
    </row>
    <row r="29" spans="1:7" s="258" customFormat="1" ht="13.5" customHeight="1">
      <c r="A29" s="951" t="s">
        <v>792</v>
      </c>
      <c r="B29" s="292" t="s">
        <v>2371</v>
      </c>
      <c r="C29" s="282">
        <f ca="1">ROUND(C21*F27,4)</f>
        <v>4.4999999999999997E-3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23934428</v>
      </c>
      <c r="D31" s="274"/>
      <c r="E31" s="255"/>
      <c r="F31" s="294"/>
      <c r="G31" s="278" t="s">
        <v>2376</v>
      </c>
    </row>
    <row r="32" spans="1:7" s="252" customFormat="1" ht="16.2">
      <c r="A32" s="296" t="s">
        <v>2443</v>
      </c>
      <c r="B32" s="297"/>
      <c r="C32" s="297"/>
      <c r="D32" s="297"/>
      <c r="E32" s="297"/>
      <c r="F32" s="297"/>
      <c r="G32" s="298"/>
    </row>
    <row r="33" spans="1:7" s="258" customFormat="1" ht="13.5" customHeight="1">
      <c r="A33" s="299" t="s">
        <v>782</v>
      </c>
      <c r="B33" s="254" t="s">
        <v>2444</v>
      </c>
      <c r="C33" s="300">
        <f ca="1">SUM(C34:C38)</f>
        <v>222918919</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193600150</v>
      </c>
      <c r="D34" s="261"/>
      <c r="E34" s="264"/>
      <c r="F34" s="301"/>
      <c r="G34" s="263"/>
    </row>
    <row r="35" spans="1:7" ht="13.5" customHeight="1">
      <c r="A35" s="951" t="s">
        <v>796</v>
      </c>
      <c r="B35" s="259" t="s">
        <v>2381</v>
      </c>
      <c r="C35" s="264">
        <f ca="1">ROUND(C34*F35,0)</f>
        <v>5808005</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9511870</v>
      </c>
      <c r="D36" s="264"/>
      <c r="E36" s="264"/>
      <c r="F36" s="303">
        <f>'数据-取费表'!B34</f>
        <v>0.05</v>
      </c>
      <c r="G36" s="304" t="s">
        <v>2384</v>
      </c>
    </row>
    <row r="37" spans="1:7" s="302" customFormat="1" ht="13.5" customHeight="1">
      <c r="A37" s="951" t="s">
        <v>798</v>
      </c>
      <c r="B37" s="259" t="s">
        <v>2385</v>
      </c>
      <c r="C37" s="293">
        <f ca="1">ROUND(E37*D37,0)</f>
        <v>11094892</v>
      </c>
      <c r="D37" s="261">
        <f ca="1">D19</f>
        <v>55474.460000000014</v>
      </c>
      <c r="E37" s="293">
        <f>'数据-取费表'!B35</f>
        <v>200</v>
      </c>
      <c r="F37" s="303"/>
      <c r="G37" s="305"/>
    </row>
    <row r="38" spans="1:7" ht="13.5" customHeight="1">
      <c r="A38" s="951" t="s">
        <v>799</v>
      </c>
      <c r="B38" s="259" t="s">
        <v>2387</v>
      </c>
      <c r="C38" s="264">
        <f ca="1">ROUND(C34*F38,0)</f>
        <v>2904002</v>
      </c>
      <c r="D38" s="264"/>
      <c r="E38" s="264"/>
      <c r="F38" s="303">
        <f>'数据-取费表'!B36</f>
        <v>1.4999999999999999E-2</v>
      </c>
      <c r="G38" s="263" t="s">
        <v>2382</v>
      </c>
    </row>
    <row r="39" spans="1:7" s="258" customFormat="1" ht="13.5" customHeight="1">
      <c r="A39" s="299" t="s">
        <v>2388</v>
      </c>
      <c r="B39" s="254" t="s">
        <v>2389</v>
      </c>
      <c r="C39" s="276">
        <f ca="1">ROUND(C33*F20,0)</f>
        <v>6687568</v>
      </c>
      <c r="D39" s="276"/>
      <c r="E39" s="276"/>
      <c r="F39" s="277"/>
      <c r="G39" s="278" t="s">
        <v>2390</v>
      </c>
    </row>
    <row r="40" spans="1:7" s="258" customFormat="1" ht="13.5" customHeight="1">
      <c r="A40" s="299" t="s">
        <v>2391</v>
      </c>
      <c r="B40" s="254" t="s">
        <v>2392</v>
      </c>
      <c r="C40" s="1728">
        <f>F21</f>
        <v>0.03</v>
      </c>
      <c r="D40" s="280" t="s">
        <v>2393</v>
      </c>
      <c r="E40" s="276"/>
      <c r="F40" s="277"/>
      <c r="G40" s="278" t="s">
        <v>2394</v>
      </c>
    </row>
    <row r="41" spans="1:7" s="258" customFormat="1" ht="13.5" customHeight="1">
      <c r="A41" s="299" t="s">
        <v>2395</v>
      </c>
      <c r="B41" s="254" t="s">
        <v>2396</v>
      </c>
      <c r="C41" s="276">
        <f ca="1">ROUND(SUM(C42:C43),0)</f>
        <v>13712889</v>
      </c>
      <c r="D41" s="279">
        <f ca="1">C44</f>
        <v>1.8E-3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13313484</v>
      </c>
      <c r="D42" s="282"/>
      <c r="E42" s="282"/>
      <c r="F42" s="283"/>
      <c r="G42" s="3263" t="s">
        <v>2445</v>
      </c>
    </row>
    <row r="43" spans="1:7" ht="13.5" customHeight="1">
      <c r="A43" s="951" t="s">
        <v>792</v>
      </c>
      <c r="B43" s="259" t="s">
        <v>2399</v>
      </c>
      <c r="C43" s="282">
        <f ca="1">ROUND(IF('数据-取费表'!B22&lt;=1,C39*F22*'数据-取费表'!B20/2,C39*(POWER((1+F22),'数据-取费表'!B20/2)-1)),0)</f>
        <v>399405</v>
      </c>
      <c r="D43" s="282"/>
      <c r="E43" s="282"/>
      <c r="F43" s="283"/>
      <c r="G43" s="3264"/>
    </row>
    <row r="44" spans="1:7" ht="13.5" customHeight="1">
      <c r="A44" s="951" t="s">
        <v>793</v>
      </c>
      <c r="B44" s="259" t="s">
        <v>2400</v>
      </c>
      <c r="C44" s="282">
        <f ca="1">ROUND(IF('数据-取费表'!B22&lt;=1,C40*F22*'数据-取费表'!B20/2,C40*(POWER((1+F22),'数据-取费表'!B20/2)-1)),4)</f>
        <v>1.8E-3</v>
      </c>
      <c r="D44" s="282"/>
      <c r="E44" s="282"/>
      <c r="F44" s="283"/>
      <c r="G44" s="3265"/>
    </row>
    <row r="45" spans="1:7" s="258" customFormat="1" ht="13.5" customHeight="1">
      <c r="A45" s="299" t="s">
        <v>2401</v>
      </c>
      <c r="B45" s="288" t="s">
        <v>2367</v>
      </c>
      <c r="C45" s="289">
        <f ca="1">C46</f>
        <v>34440973</v>
      </c>
      <c r="D45" s="279">
        <f ca="1">C47</f>
        <v>4.4999999999999997E-3</v>
      </c>
      <c r="E45" s="280" t="s">
        <v>2393</v>
      </c>
      <c r="F45" s="290"/>
      <c r="G45" s="291" t="s">
        <v>2402</v>
      </c>
    </row>
    <row r="46" spans="1:7" s="258" customFormat="1" ht="13.5" customHeight="1">
      <c r="A46" s="951" t="s">
        <v>791</v>
      </c>
      <c r="B46" s="292" t="s">
        <v>2403</v>
      </c>
      <c r="C46" s="293">
        <f ca="1">ROUND((C33+C39)*F27,0)</f>
        <v>34440973</v>
      </c>
      <c r="D46" s="307"/>
      <c r="E46" s="280"/>
      <c r="F46" s="290"/>
      <c r="G46" s="291"/>
    </row>
    <row r="47" spans="1:7" s="258" customFormat="1" ht="13.5" customHeight="1">
      <c r="A47" s="951" t="s">
        <v>792</v>
      </c>
      <c r="B47" s="292" t="s">
        <v>2404</v>
      </c>
      <c r="C47" s="282">
        <f ca="1">ROUND(C40*F27,4)</f>
        <v>4.4999999999999997E-3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305097044</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305097044</v>
      </c>
      <c r="D51" s="276"/>
      <c r="E51" s="276"/>
      <c r="F51" s="308"/>
      <c r="G51" s="278" t="s">
        <v>2414</v>
      </c>
    </row>
    <row r="52" spans="1:7" s="252" customFormat="1" ht="16.8" thickBot="1">
      <c r="A52" s="309" t="s">
        <v>2415</v>
      </c>
      <c r="B52" s="310"/>
      <c r="C52" s="311">
        <f ca="1">C31+C51</f>
        <v>329031472</v>
      </c>
      <c r="D52" s="310"/>
      <c r="E52" s="310"/>
      <c r="F52" s="310"/>
      <c r="G52" s="312"/>
    </row>
    <row r="55" spans="1:7" ht="15">
      <c r="B55" s="314" t="s">
        <v>2416</v>
      </c>
      <c r="C55" s="315"/>
    </row>
    <row r="56" spans="1:7">
      <c r="B56" s="317" t="s">
        <v>1508</v>
      </c>
      <c r="C56" s="319">
        <f ca="1">1-C57</f>
        <v>7.2999999999999954E-2</v>
      </c>
    </row>
    <row r="57" spans="1:7">
      <c r="B57" s="317" t="s">
        <v>1509</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D38" sqref="D3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29806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5373</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2630</v>
      </c>
      <c r="B4" s="402"/>
      <c r="C4" s="3284" t="s">
        <v>2631</v>
      </c>
      <c r="D4" s="3285"/>
      <c r="E4" s="3286" t="s">
        <v>2632</v>
      </c>
      <c r="F4" s="3287"/>
      <c r="G4" s="3284" t="s">
        <v>2633</v>
      </c>
      <c r="H4" s="3285"/>
      <c r="I4" s="3284" t="s">
        <v>2634</v>
      </c>
      <c r="J4" s="3285"/>
      <c r="K4" s="610" t="s">
        <v>2635</v>
      </c>
      <c r="L4" s="1130"/>
      <c r="M4" s="1131"/>
      <c r="N4" s="1131"/>
      <c r="O4" s="1131"/>
      <c r="P4" s="3288" t="s">
        <v>2636</v>
      </c>
      <c r="Q4" s="3289"/>
      <c r="R4" s="3271" t="s">
        <v>2632</v>
      </c>
      <c r="S4" s="3272"/>
      <c r="T4" s="3271" t="s">
        <v>2633</v>
      </c>
      <c r="U4" s="3272"/>
      <c r="V4" s="3296" t="s">
        <v>2634</v>
      </c>
      <c r="W4" s="3296"/>
      <c r="X4" s="1813"/>
      <c r="Y4" s="3271" t="s">
        <v>2636</v>
      </c>
      <c r="Z4" s="3272"/>
      <c r="AA4" s="3266" t="s">
        <v>2632</v>
      </c>
      <c r="AB4" s="3267" t="s">
        <v>2633</v>
      </c>
      <c r="AC4" s="3266" t="s">
        <v>2634</v>
      </c>
    </row>
    <row r="5" spans="1:30">
      <c r="A5" s="404"/>
      <c r="B5" s="405"/>
      <c r="C5" s="3277" t="s">
        <v>3252</v>
      </c>
      <c r="D5" s="3278"/>
      <c r="E5" s="3275" t="str">
        <f>土地案例!A3</f>
        <v>东西湖区径河街三店北路以南、径吴路以西</v>
      </c>
      <c r="F5" s="3276"/>
      <c r="G5" s="3277" t="str">
        <f>土地案例!A5</f>
        <v>东西湖区金山大道以北、新城十二路以西</v>
      </c>
      <c r="H5" s="3278"/>
      <c r="I5" s="3277" t="str">
        <f>土地案例!A7</f>
        <v>东西湖区金山大道以北、新城十二路以东</v>
      </c>
      <c r="J5" s="3278"/>
      <c r="K5" s="610"/>
      <c r="L5" s="1130"/>
      <c r="M5" s="1131"/>
      <c r="N5" s="1131"/>
      <c r="O5" s="1131"/>
      <c r="P5" s="3290"/>
      <c r="Q5" s="3291"/>
      <c r="R5" s="3273"/>
      <c r="S5" s="3274"/>
      <c r="T5" s="3273"/>
      <c r="U5" s="3274"/>
      <c r="V5" s="3296"/>
      <c r="W5" s="3296"/>
      <c r="X5" s="1813"/>
      <c r="Y5" s="3273"/>
      <c r="Z5" s="3274"/>
      <c r="AA5" s="3267"/>
      <c r="AB5" s="3267"/>
      <c r="AC5" s="3267"/>
    </row>
    <row r="6" spans="1:30" ht="15" thickBot="1">
      <c r="A6" s="406"/>
      <c r="B6" s="407"/>
      <c r="C6" s="3279" t="s">
        <v>3253</v>
      </c>
      <c r="D6" s="3280"/>
      <c r="E6" s="3281" t="s">
        <v>3253</v>
      </c>
      <c r="F6" s="3282"/>
      <c r="G6" s="3279" t="s">
        <v>3253</v>
      </c>
      <c r="H6" s="3280"/>
      <c r="I6" s="3279" t="s">
        <v>3253</v>
      </c>
      <c r="J6" s="3280"/>
      <c r="K6" s="610" t="s">
        <v>2533</v>
      </c>
      <c r="L6" s="1130"/>
      <c r="M6" s="1131"/>
      <c r="N6" s="1131"/>
      <c r="O6" s="1131"/>
      <c r="P6" s="3292"/>
      <c r="Q6" s="3293"/>
      <c r="R6" s="3273"/>
      <c r="S6" s="3274"/>
      <c r="T6" s="3294"/>
      <c r="U6" s="3295"/>
      <c r="V6" s="3296"/>
      <c r="W6" s="3296"/>
      <c r="X6" s="1813"/>
      <c r="Y6" s="3294"/>
      <c r="Z6" s="3295"/>
      <c r="AA6" s="3268"/>
      <c r="AB6" s="3268"/>
      <c r="AC6" s="3268"/>
    </row>
    <row r="7" spans="1:30" s="117" customFormat="1" ht="15" thickBot="1">
      <c r="A7" s="408" t="s">
        <v>2534</v>
      </c>
      <c r="B7" s="409"/>
      <c r="C7" s="410">
        <f>'数据-取费表'!B2</f>
        <v>43724</v>
      </c>
      <c r="D7" s="411">
        <v>100</v>
      </c>
      <c r="E7" s="412" t="str">
        <f>土地案例!I3</f>
        <v>2019-01-25</v>
      </c>
      <c r="F7" s="413">
        <f>SUMIF(70:70,YEAR(E7)&amp;"-"&amp;INT((MONTH(E7)+2)/3),71:71)</f>
        <v>98</v>
      </c>
      <c r="G7" s="2691" t="str">
        <f>土地案例!I5</f>
        <v>2018-12-25</v>
      </c>
      <c r="H7" s="411">
        <f>SUMIF(70:70,YEAR(G7)&amp;"-"&amp;INT((MONTH(G7)+2)/3),71:71)</f>
        <v>97</v>
      </c>
      <c r="I7" s="2691" t="str">
        <f>土地案例!I7</f>
        <v>2018-11-30</v>
      </c>
      <c r="J7" s="411">
        <f>SUMIF(70:70,YEAR(I7)&amp;"-"&amp;INT((MONTH(I7)+2)/3),71:71)</f>
        <v>97</v>
      </c>
      <c r="K7" s="611"/>
      <c r="L7" s="1132"/>
      <c r="M7" s="1133"/>
      <c r="N7" s="1133"/>
      <c r="O7" s="1133"/>
      <c r="P7" s="3269" t="s">
        <v>2535</v>
      </c>
      <c r="Q7" s="3297"/>
      <c r="R7" s="770" t="s">
        <v>17</v>
      </c>
      <c r="S7" s="771">
        <f t="shared" ref="S7:S15" si="0">F7</f>
        <v>98</v>
      </c>
      <c r="T7" s="770" t="s">
        <v>17</v>
      </c>
      <c r="U7" s="771">
        <f t="shared" ref="U7:U15" si="1">H7</f>
        <v>97</v>
      </c>
      <c r="V7" s="770" t="s">
        <v>17</v>
      </c>
      <c r="W7" s="771">
        <f t="shared" ref="W7:W15" si="2">J7</f>
        <v>97</v>
      </c>
      <c r="X7" s="772"/>
      <c r="Y7" s="3269" t="s">
        <v>2535</v>
      </c>
      <c r="Z7" s="3270"/>
      <c r="AA7" s="773">
        <f>D7/F7</f>
        <v>1.0204081632653061</v>
      </c>
      <c r="AB7" s="773">
        <f>D7/H7</f>
        <v>1.0309278350515463</v>
      </c>
      <c r="AC7" s="773">
        <f>D7/J7</f>
        <v>1.0309278350515463</v>
      </c>
    </row>
    <row r="8" spans="1:30" s="117" customFormat="1" ht="15" thickBot="1">
      <c r="A8" s="408" t="s">
        <v>2536</v>
      </c>
      <c r="B8" s="409"/>
      <c r="C8" s="414" t="s">
        <v>2537</v>
      </c>
      <c r="D8" s="411">
        <v>100</v>
      </c>
      <c r="E8" s="2975" t="s">
        <v>3203</v>
      </c>
      <c r="F8" s="413">
        <f>SUMIF(73:73,E8,74:74)-SUMIF(73:73,C8,74:74)+100</f>
        <v>100</v>
      </c>
      <c r="G8" s="2975" t="s">
        <v>3203</v>
      </c>
      <c r="H8" s="411">
        <f>SUMIF(73:73,G8,74:74)-SUMIF(73:73,C8,74:74)+100</f>
        <v>100</v>
      </c>
      <c r="I8" s="2975" t="s">
        <v>3204</v>
      </c>
      <c r="J8" s="411">
        <f>SUMIF(73:73,I8,74:74)-SUMIF(73:73,C8,74:74)+100</f>
        <v>100</v>
      </c>
      <c r="K8" s="611"/>
      <c r="L8" s="1132"/>
      <c r="M8" s="1133"/>
      <c r="N8" s="1133"/>
      <c r="O8" s="1133"/>
      <c r="P8" s="3269" t="s">
        <v>2538</v>
      </c>
      <c r="Q8" s="3270"/>
      <c r="R8" s="770" t="s">
        <v>17</v>
      </c>
      <c r="S8" s="771">
        <f t="shared" si="0"/>
        <v>100</v>
      </c>
      <c r="T8" s="770" t="s">
        <v>17</v>
      </c>
      <c r="U8" s="771">
        <f t="shared" si="1"/>
        <v>100</v>
      </c>
      <c r="V8" s="770" t="s">
        <v>17</v>
      </c>
      <c r="W8" s="771">
        <f t="shared" si="2"/>
        <v>100</v>
      </c>
      <c r="X8" s="772"/>
      <c r="Y8" s="3269" t="s">
        <v>2538</v>
      </c>
      <c r="Z8" s="3270"/>
      <c r="AA8" s="773">
        <f t="shared" ref="AA8:AA45" si="3">D8/F8</f>
        <v>1</v>
      </c>
      <c r="AB8" s="773">
        <f t="shared" ref="AB8:AB45" si="4">D8/H8</f>
        <v>1</v>
      </c>
      <c r="AC8" s="773">
        <f t="shared" ref="AC8:AC45" si="5">D8/J8</f>
        <v>1</v>
      </c>
    </row>
    <row r="9" spans="1:30" s="117" customFormat="1" ht="14.4">
      <c r="A9" s="415" t="s">
        <v>2539</v>
      </c>
      <c r="B9" s="71" t="s">
        <v>2540</v>
      </c>
      <c r="C9" s="2694" t="s">
        <v>3078</v>
      </c>
      <c r="D9" s="135">
        <v>100</v>
      </c>
      <c r="E9" s="2694" t="s">
        <v>3078</v>
      </c>
      <c r="F9" s="135">
        <f>SUMIF(75:75,E9,76:76)-SUMIF(75:75,C9,76:76)+100</f>
        <v>100</v>
      </c>
      <c r="G9" s="2694" t="s">
        <v>3078</v>
      </c>
      <c r="H9" s="135">
        <f>SUMIF(75:75,G9,76:76)-SUMIF(75:75,C9,76:76)+100</f>
        <v>100</v>
      </c>
      <c r="I9" s="2694" t="s">
        <v>3078</v>
      </c>
      <c r="J9" s="135">
        <f>SUMIF(75:75,I9,76:76)-SUMIF(75:75,C9,76:76)+100</f>
        <v>100</v>
      </c>
      <c r="K9" s="611"/>
      <c r="L9" s="1132"/>
      <c r="M9" s="1133"/>
      <c r="N9" s="1133"/>
      <c r="O9" s="1134"/>
      <c r="P9" s="3283" t="s">
        <v>2541</v>
      </c>
      <c r="Q9" s="1795" t="str">
        <f t="shared" ref="Q9:Q15" si="6">B9</f>
        <v>用途</v>
      </c>
      <c r="R9" s="770" t="s">
        <v>17</v>
      </c>
      <c r="S9" s="771">
        <f t="shared" si="0"/>
        <v>100</v>
      </c>
      <c r="T9" s="770" t="s">
        <v>17</v>
      </c>
      <c r="U9" s="771">
        <f t="shared" si="1"/>
        <v>100</v>
      </c>
      <c r="V9" s="770" t="s">
        <v>17</v>
      </c>
      <c r="W9" s="771">
        <f t="shared" si="2"/>
        <v>100</v>
      </c>
      <c r="X9" s="772"/>
      <c r="Y9" s="3143" t="s">
        <v>2542</v>
      </c>
      <c r="Z9" s="55" t="str">
        <f t="shared" ref="Z9:Z15" si="7">Q9</f>
        <v>用途</v>
      </c>
      <c r="AA9" s="773">
        <f t="shared" si="3"/>
        <v>1</v>
      </c>
      <c r="AB9" s="773">
        <f t="shared" si="4"/>
        <v>1</v>
      </c>
      <c r="AC9" s="773">
        <f t="shared" si="5"/>
        <v>1</v>
      </c>
    </row>
    <row r="10" spans="1:30" s="427" customFormat="1" ht="28.8">
      <c r="A10" s="421"/>
      <c r="B10" s="422" t="s">
        <v>2543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83"/>
      <c r="Q10" s="1795" t="str">
        <f t="shared" si="6"/>
        <v>土地使用年限（年）</v>
      </c>
      <c r="R10" s="770" t="s">
        <v>17</v>
      </c>
      <c r="S10" s="771">
        <f t="shared" si="0"/>
        <v>100</v>
      </c>
      <c r="T10" s="770" t="s">
        <v>17</v>
      </c>
      <c r="U10" s="771">
        <f t="shared" si="1"/>
        <v>100</v>
      </c>
      <c r="V10" s="770" t="s">
        <v>17</v>
      </c>
      <c r="W10" s="771">
        <f t="shared" si="2"/>
        <v>100</v>
      </c>
      <c r="X10" s="772"/>
      <c r="Y10" s="3143"/>
      <c r="Z10" s="55" t="str">
        <f t="shared" si="7"/>
        <v>土地使用年限（年）</v>
      </c>
      <c r="AA10" s="773">
        <f t="shared" si="3"/>
        <v>1</v>
      </c>
      <c r="AB10" s="773">
        <f t="shared" si="4"/>
        <v>1</v>
      </c>
      <c r="AC10" s="773">
        <f t="shared" si="5"/>
        <v>1</v>
      </c>
    </row>
    <row r="11" spans="1:30" ht="15.6" thickBot="1">
      <c r="A11" s="428"/>
      <c r="B11" s="422" t="s">
        <v>2544</v>
      </c>
      <c r="C11" s="3015">
        <f>权属!C18</f>
        <v>3.35</v>
      </c>
      <c r="D11" s="136">
        <v>100</v>
      </c>
      <c r="E11" s="429">
        <v>2.83</v>
      </c>
      <c r="F11" s="136">
        <f>LOOKUP(E11,80:80,81:81)-LOOKUP(C11,80:80,81:81)+100</f>
        <v>102</v>
      </c>
      <c r="G11" s="430">
        <v>3</v>
      </c>
      <c r="H11" s="136">
        <f>LOOKUP(G11,80:80,81:81)-LOOKUP(C11,80:80,81:81)+100</f>
        <v>100</v>
      </c>
      <c r="I11" s="429">
        <v>3</v>
      </c>
      <c r="J11" s="136">
        <f>LOOKUP(I11,80:80,81:81)-LOOKUP(C11,80:80,81:81)+100</f>
        <v>100</v>
      </c>
      <c r="K11" s="673">
        <v>2</v>
      </c>
      <c r="L11" s="1138"/>
      <c r="M11" s="1131"/>
      <c r="N11" s="1131"/>
      <c r="O11" s="1139"/>
      <c r="P11" s="3283"/>
      <c r="Q11" s="1795" t="str">
        <f t="shared" si="6"/>
        <v>容积率</v>
      </c>
      <c r="R11" s="770" t="s">
        <v>17</v>
      </c>
      <c r="S11" s="771">
        <f t="shared" si="0"/>
        <v>102</v>
      </c>
      <c r="T11" s="770" t="s">
        <v>17</v>
      </c>
      <c r="U11" s="771">
        <f t="shared" si="1"/>
        <v>100</v>
      </c>
      <c r="V11" s="770" t="s">
        <v>17</v>
      </c>
      <c r="W11" s="771">
        <f t="shared" si="2"/>
        <v>100</v>
      </c>
      <c r="X11" s="772"/>
      <c r="Y11" s="3143"/>
      <c r="Z11" s="55" t="str">
        <f t="shared" si="7"/>
        <v>容积率</v>
      </c>
      <c r="AA11" s="773">
        <f t="shared" si="3"/>
        <v>0.98039215686274506</v>
      </c>
      <c r="AB11" s="773">
        <f t="shared" si="4"/>
        <v>1</v>
      </c>
      <c r="AC11" s="773">
        <f t="shared" si="5"/>
        <v>1</v>
      </c>
    </row>
    <row r="12" spans="1:30" s="117" customFormat="1" ht="15" hidden="1">
      <c r="A12" s="431"/>
      <c r="B12" s="2597" t="s">
        <v>2732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83"/>
      <c r="Q12" s="1795" t="str">
        <f t="shared" si="6"/>
        <v>配建</v>
      </c>
      <c r="R12" s="770" t="s">
        <v>17</v>
      </c>
      <c r="S12" s="771">
        <f t="shared" si="0"/>
        <v>100</v>
      </c>
      <c r="T12" s="770" t="s">
        <v>17</v>
      </c>
      <c r="U12" s="771">
        <f t="shared" si="1"/>
        <v>100</v>
      </c>
      <c r="V12" s="770" t="s">
        <v>17</v>
      </c>
      <c r="W12" s="771">
        <f t="shared" si="2"/>
        <v>100</v>
      </c>
      <c r="X12" s="772"/>
      <c r="Y12" s="3143"/>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83"/>
      <c r="Q13" s="1795">
        <f t="shared" si="6"/>
        <v>111</v>
      </c>
      <c r="R13" s="770" t="s">
        <v>17</v>
      </c>
      <c r="S13" s="771">
        <f t="shared" si="0"/>
        <v>100</v>
      </c>
      <c r="T13" s="770" t="s">
        <v>17</v>
      </c>
      <c r="U13" s="771">
        <f t="shared" si="1"/>
        <v>100</v>
      </c>
      <c r="V13" s="770" t="s">
        <v>17</v>
      </c>
      <c r="W13" s="771">
        <f t="shared" si="2"/>
        <v>100</v>
      </c>
      <c r="X13" s="772"/>
      <c r="Y13" s="3143"/>
      <c r="Z13" s="55">
        <f t="shared" si="7"/>
        <v>111</v>
      </c>
      <c r="AA13" s="773">
        <f>D13/F13</f>
        <v>1</v>
      </c>
      <c r="AB13" s="773">
        <f>D13/H13</f>
        <v>1</v>
      </c>
      <c r="AC13" s="773">
        <f>D13/J13</f>
        <v>1</v>
      </c>
    </row>
    <row r="14" spans="1:30" ht="15.6"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83"/>
      <c r="Q14" s="1795">
        <f t="shared" si="6"/>
        <v>111</v>
      </c>
      <c r="R14" s="770" t="s">
        <v>17</v>
      </c>
      <c r="S14" s="771">
        <f t="shared" si="0"/>
        <v>100</v>
      </c>
      <c r="T14" s="770" t="s">
        <v>17</v>
      </c>
      <c r="U14" s="771">
        <f t="shared" si="1"/>
        <v>100</v>
      </c>
      <c r="V14" s="770" t="s">
        <v>17</v>
      </c>
      <c r="W14" s="771">
        <f t="shared" si="2"/>
        <v>100</v>
      </c>
      <c r="X14" s="772"/>
      <c r="Y14" s="3143"/>
      <c r="Z14" s="55">
        <f t="shared" si="7"/>
        <v>111</v>
      </c>
      <c r="AA14" s="773">
        <f>D14/F14</f>
        <v>1</v>
      </c>
      <c r="AB14" s="773">
        <f>D14/H14</f>
        <v>1</v>
      </c>
      <c r="AC14" s="773">
        <f>D14/J14</f>
        <v>1</v>
      </c>
    </row>
    <row r="15" spans="1:30" ht="15">
      <c r="A15" s="440" t="s">
        <v>2545</v>
      </c>
      <c r="B15" s="69" t="s">
        <v>2082</v>
      </c>
      <c r="C15" s="2600" t="str">
        <f>估价对象房地状况!C15</f>
        <v>一般</v>
      </c>
      <c r="D15" s="441">
        <v>100</v>
      </c>
      <c r="E15" s="442"/>
      <c r="F15" s="441">
        <f>SUMIF(88:88,E16,89:89)-SUMIF(88:88,C16,89:89)+100</f>
        <v>97</v>
      </c>
      <c r="G15" s="442"/>
      <c r="H15" s="441">
        <f>SUMIF(88:88,G16,89:89)-SUMIF(88:88,C16,89:89)+100</f>
        <v>103</v>
      </c>
      <c r="I15" s="444"/>
      <c r="J15" s="441">
        <f>SUMIF(88:88,I16,89:89)-SUMIF(88:88,C16,89:89)+100</f>
        <v>103</v>
      </c>
      <c r="K15" s="673">
        <v>3</v>
      </c>
      <c r="L15" s="1140"/>
      <c r="M15" s="1131"/>
      <c r="N15" s="1131"/>
      <c r="O15" s="1139"/>
      <c r="P15" s="3298" t="s">
        <v>2546</v>
      </c>
      <c r="Q15" s="1810" t="str">
        <f t="shared" si="6"/>
        <v>居住社区成熟度</v>
      </c>
      <c r="R15" s="774" t="s">
        <v>17</v>
      </c>
      <c r="S15" s="775">
        <f t="shared" si="0"/>
        <v>97</v>
      </c>
      <c r="T15" s="774" t="s">
        <v>17</v>
      </c>
      <c r="U15" s="775">
        <f t="shared" si="1"/>
        <v>103</v>
      </c>
      <c r="V15" s="774" t="s">
        <v>17</v>
      </c>
      <c r="W15" s="775">
        <f t="shared" si="2"/>
        <v>103</v>
      </c>
      <c r="X15" s="1813"/>
      <c r="Y15" s="3298" t="s">
        <v>2546</v>
      </c>
      <c r="Z15" s="1814" t="str">
        <f t="shared" si="7"/>
        <v>居住社区成熟度</v>
      </c>
      <c r="AA15" s="1811">
        <f t="shared" si="3"/>
        <v>1.0309278350515463</v>
      </c>
      <c r="AB15" s="1811">
        <f t="shared" si="4"/>
        <v>0.970873786407767</v>
      </c>
      <c r="AC15" s="1811">
        <f t="shared" si="5"/>
        <v>0.970873786407767</v>
      </c>
    </row>
    <row r="16" spans="1:30" ht="15">
      <c r="A16" s="428"/>
      <c r="B16" s="446"/>
      <c r="C16" s="2967" t="s">
        <v>3190</v>
      </c>
      <c r="D16" s="448"/>
      <c r="E16" s="2968" t="s">
        <v>3192</v>
      </c>
      <c r="F16" s="448"/>
      <c r="G16" s="2968" t="s">
        <v>3191</v>
      </c>
      <c r="H16" s="450"/>
      <c r="I16" s="2969" t="s">
        <v>3191</v>
      </c>
      <c r="J16" s="448"/>
      <c r="K16" s="672"/>
      <c r="L16" s="1140"/>
      <c r="M16" s="1131"/>
      <c r="N16" s="1131"/>
      <c r="O16" s="1139"/>
      <c r="P16" s="3299"/>
      <c r="Q16" s="1810"/>
      <c r="R16" s="774"/>
      <c r="S16" s="775"/>
      <c r="T16" s="774"/>
      <c r="U16" s="775"/>
      <c r="V16" s="774"/>
      <c r="W16" s="775"/>
      <c r="X16" s="1813"/>
      <c r="Y16" s="3299"/>
      <c r="Z16" s="1814"/>
      <c r="AA16" s="1811">
        <v>1</v>
      </c>
      <c r="AB16" s="1811">
        <v>1</v>
      </c>
      <c r="AC16" s="1811">
        <v>1</v>
      </c>
    </row>
    <row r="17" spans="1:29" ht="15" hidden="1">
      <c r="A17" s="428"/>
      <c r="B17" s="451" t="s">
        <v>2638</v>
      </c>
      <c r="C17" s="2659"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99"/>
      <c r="Q17" s="1810" t="str">
        <f>B17</f>
        <v>商业繁华度</v>
      </c>
      <c r="R17" s="774" t="s">
        <v>17</v>
      </c>
      <c r="S17" s="775">
        <f>F17</f>
        <v>100</v>
      </c>
      <c r="T17" s="774" t="s">
        <v>17</v>
      </c>
      <c r="U17" s="775">
        <f>H17</f>
        <v>100</v>
      </c>
      <c r="V17" s="774" t="s">
        <v>17</v>
      </c>
      <c r="W17" s="775">
        <f>J17</f>
        <v>100</v>
      </c>
      <c r="X17" s="1813"/>
      <c r="Y17" s="3299"/>
      <c r="Z17" s="1814" t="str">
        <f>Q17</f>
        <v>商业繁华度</v>
      </c>
      <c r="AA17" s="1811">
        <f t="shared" si="3"/>
        <v>1</v>
      </c>
      <c r="AB17" s="1811">
        <f t="shared" si="4"/>
        <v>1</v>
      </c>
      <c r="AC17" s="1811">
        <f t="shared" si="5"/>
        <v>1</v>
      </c>
    </row>
    <row r="18" spans="1:29" ht="15" hidden="1">
      <c r="A18" s="428"/>
      <c r="B18" s="456"/>
      <c r="C18" s="2605"/>
      <c r="D18" s="450"/>
      <c r="E18" s="2607"/>
      <c r="F18" s="450"/>
      <c r="G18" s="2607"/>
      <c r="H18" s="448"/>
      <c r="I18" s="2606"/>
      <c r="J18" s="448"/>
      <c r="K18" s="672"/>
      <c r="L18" s="1140"/>
      <c r="M18" s="1131"/>
      <c r="N18" s="1131"/>
      <c r="O18" s="1139"/>
      <c r="P18" s="3299"/>
      <c r="Q18" s="1810"/>
      <c r="R18" s="774"/>
      <c r="S18" s="775"/>
      <c r="T18" s="774"/>
      <c r="U18" s="775"/>
      <c r="V18" s="774"/>
      <c r="W18" s="775"/>
      <c r="X18" s="1813"/>
      <c r="Y18" s="3299"/>
      <c r="Z18" s="1814"/>
      <c r="AA18" s="1811">
        <v>1</v>
      </c>
      <c r="AB18" s="1811">
        <v>1</v>
      </c>
      <c r="AC18" s="1811">
        <v>1</v>
      </c>
    </row>
    <row r="19" spans="1:29" ht="15" hidden="1">
      <c r="A19" s="428"/>
      <c r="B19" s="451" t="s">
        <v>2672</v>
      </c>
      <c r="C19" s="2659"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99"/>
      <c r="Q19" s="1810" t="str">
        <f>B19</f>
        <v>办公集聚程度</v>
      </c>
      <c r="R19" s="774" t="s">
        <v>17</v>
      </c>
      <c r="S19" s="775">
        <f>F19</f>
        <v>100</v>
      </c>
      <c r="T19" s="774" t="s">
        <v>17</v>
      </c>
      <c r="U19" s="775">
        <f>H19</f>
        <v>100</v>
      </c>
      <c r="V19" s="774" t="s">
        <v>17</v>
      </c>
      <c r="W19" s="775">
        <f>J19</f>
        <v>100</v>
      </c>
      <c r="X19" s="1813"/>
      <c r="Y19" s="3299"/>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299"/>
      <c r="Q20" s="1810"/>
      <c r="R20" s="774"/>
      <c r="S20" s="775"/>
      <c r="T20" s="774"/>
      <c r="U20" s="775"/>
      <c r="V20" s="774"/>
      <c r="W20" s="775"/>
      <c r="X20" s="1813"/>
      <c r="Y20" s="3299"/>
      <c r="Z20" s="1814"/>
      <c r="AA20" s="1811">
        <v>1</v>
      </c>
      <c r="AB20" s="1811">
        <v>1</v>
      </c>
      <c r="AC20" s="1811">
        <v>1</v>
      </c>
    </row>
    <row r="21" spans="1:29" ht="15">
      <c r="A21" s="428"/>
      <c r="B21" s="451" t="s">
        <v>2694</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99"/>
      <c r="Q21" s="1810" t="str">
        <f>B21</f>
        <v>交通便捷度</v>
      </c>
      <c r="R21" s="774" t="s">
        <v>17</v>
      </c>
      <c r="S21" s="775">
        <f>F21</f>
        <v>100</v>
      </c>
      <c r="T21" s="774" t="s">
        <v>17</v>
      </c>
      <c r="U21" s="775">
        <f>H21</f>
        <v>100</v>
      </c>
      <c r="V21" s="774" t="s">
        <v>17</v>
      </c>
      <c r="W21" s="775">
        <f>J21</f>
        <v>100</v>
      </c>
      <c r="X21" s="1813"/>
      <c r="Y21" s="3299"/>
      <c r="Z21" s="1814" t="str">
        <f>Q21</f>
        <v>交通便捷度</v>
      </c>
      <c r="AA21" s="1811">
        <f t="shared" si="3"/>
        <v>1</v>
      </c>
      <c r="AB21" s="1811">
        <f t="shared" si="4"/>
        <v>1</v>
      </c>
      <c r="AC21" s="1811">
        <f t="shared" si="5"/>
        <v>1</v>
      </c>
    </row>
    <row r="22" spans="1:29" ht="15">
      <c r="A22" s="428"/>
      <c r="B22" s="1384"/>
      <c r="C22" s="2967" t="s">
        <v>3190</v>
      </c>
      <c r="D22" s="450"/>
      <c r="E22" s="2968" t="s">
        <v>3190</v>
      </c>
      <c r="F22" s="448"/>
      <c r="G22" s="2968" t="s">
        <v>3190</v>
      </c>
      <c r="H22" s="448"/>
      <c r="I22" s="2969" t="s">
        <v>3190</v>
      </c>
      <c r="J22" s="448"/>
      <c r="K22" s="672"/>
      <c r="L22" s="1140"/>
      <c r="M22" s="1131"/>
      <c r="N22" s="1131"/>
      <c r="O22" s="1139"/>
      <c r="P22" s="3299"/>
      <c r="Q22" s="1810"/>
      <c r="R22" s="774"/>
      <c r="S22" s="775"/>
      <c r="T22" s="774"/>
      <c r="U22" s="775"/>
      <c r="V22" s="774"/>
      <c r="W22" s="775"/>
      <c r="X22" s="1813"/>
      <c r="Y22" s="3299"/>
      <c r="Z22" s="1814"/>
      <c r="AA22" s="1811">
        <v>1</v>
      </c>
      <c r="AB22" s="1811">
        <v>1</v>
      </c>
      <c r="AC22" s="1811">
        <v>1</v>
      </c>
    </row>
    <row r="23" spans="1:29" ht="28.8">
      <c r="A23" s="404"/>
      <c r="B23" s="451" t="s">
        <v>2733</v>
      </c>
      <c r="C23" s="1389"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99"/>
      <c r="Q23" s="1810" t="str">
        <f t="shared" ref="Q23:Q37" si="8">B23</f>
        <v>区域土地利用方向</v>
      </c>
      <c r="R23" s="774" t="s">
        <v>17</v>
      </c>
      <c r="S23" s="775">
        <f>F23</f>
        <v>100</v>
      </c>
      <c r="T23" s="774" t="s">
        <v>17</v>
      </c>
      <c r="U23" s="775">
        <f>H23</f>
        <v>100</v>
      </c>
      <c r="V23" s="774" t="s">
        <v>17</v>
      </c>
      <c r="W23" s="775">
        <f>J23</f>
        <v>100</v>
      </c>
      <c r="X23" s="1813"/>
      <c r="Y23" s="3299"/>
      <c r="Z23" s="1814" t="str">
        <f>Q23</f>
        <v>区域土地利用方向</v>
      </c>
      <c r="AA23" s="1811">
        <f t="shared" si="3"/>
        <v>1</v>
      </c>
      <c r="AB23" s="1811">
        <f t="shared" si="4"/>
        <v>1</v>
      </c>
      <c r="AC23" s="1811">
        <f t="shared" si="5"/>
        <v>1</v>
      </c>
    </row>
    <row r="24" spans="1:29" ht="15">
      <c r="A24" s="404"/>
      <c r="B24" s="456"/>
      <c r="C24" s="2970" t="s">
        <v>3191</v>
      </c>
      <c r="D24" s="448"/>
      <c r="E24" s="2968" t="s">
        <v>3191</v>
      </c>
      <c r="F24" s="448"/>
      <c r="G24" s="2969" t="s">
        <v>3191</v>
      </c>
      <c r="H24" s="448"/>
      <c r="I24" s="2969" t="s">
        <v>3191</v>
      </c>
      <c r="J24" s="448"/>
      <c r="K24" s="812"/>
      <c r="L24" s="1140"/>
      <c r="M24" s="1131"/>
      <c r="N24" s="1131"/>
      <c r="O24" s="1139"/>
      <c r="P24" s="3299"/>
      <c r="Q24" s="1810"/>
      <c r="R24" s="774"/>
      <c r="S24" s="775"/>
      <c r="T24" s="774"/>
      <c r="U24" s="775"/>
      <c r="V24" s="774"/>
      <c r="W24" s="775"/>
      <c r="X24" s="1813"/>
      <c r="Y24" s="3299"/>
      <c r="Z24" s="1814"/>
      <c r="AA24" s="1811"/>
      <c r="AB24" s="1811"/>
      <c r="AC24" s="1811"/>
    </row>
    <row r="25" spans="1:29" ht="28.8">
      <c r="A25" s="404"/>
      <c r="B25" s="1384" t="s">
        <v>2734</v>
      </c>
      <c r="C25" s="2659"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99"/>
      <c r="Q25" s="1810" t="str">
        <f t="shared" si="8"/>
        <v>自然及人文环境状况</v>
      </c>
      <c r="R25" s="774" t="s">
        <v>17</v>
      </c>
      <c r="S25" s="775">
        <f>F25</f>
        <v>100</v>
      </c>
      <c r="T25" s="774" t="s">
        <v>17</v>
      </c>
      <c r="U25" s="775">
        <f>H25</f>
        <v>100</v>
      </c>
      <c r="V25" s="774" t="s">
        <v>17</v>
      </c>
      <c r="W25" s="775">
        <f>J25</f>
        <v>100</v>
      </c>
      <c r="X25" s="1813"/>
      <c r="Y25" s="3299"/>
      <c r="Z25" s="1814" t="str">
        <f>Q25</f>
        <v>自然及人文环境状况</v>
      </c>
      <c r="AA25" s="1811">
        <f t="shared" si="3"/>
        <v>1</v>
      </c>
      <c r="AB25" s="1811">
        <f t="shared" si="4"/>
        <v>1</v>
      </c>
      <c r="AC25" s="1811">
        <f t="shared" si="5"/>
        <v>1</v>
      </c>
    </row>
    <row r="26" spans="1:29" ht="15">
      <c r="A26" s="404"/>
      <c r="B26" s="456"/>
      <c r="C26" s="2967" t="s">
        <v>3190</v>
      </c>
      <c r="D26" s="448"/>
      <c r="E26" s="2971" t="s">
        <v>3190</v>
      </c>
      <c r="F26" s="448"/>
      <c r="G26" s="2971" t="s">
        <v>3190</v>
      </c>
      <c r="H26" s="448"/>
      <c r="I26" s="2967" t="s">
        <v>3190</v>
      </c>
      <c r="J26" s="448"/>
      <c r="K26" s="672"/>
      <c r="L26" s="1140"/>
      <c r="M26" s="1131"/>
      <c r="N26" s="1131"/>
      <c r="O26" s="1139"/>
      <c r="P26" s="3299"/>
      <c r="Q26" s="1810"/>
      <c r="R26" s="774"/>
      <c r="S26" s="775"/>
      <c r="T26" s="774"/>
      <c r="U26" s="775"/>
      <c r="V26" s="774"/>
      <c r="W26" s="775"/>
      <c r="X26" s="1813"/>
      <c r="Y26" s="3299"/>
      <c r="Z26" s="1814"/>
      <c r="AA26" s="1811">
        <v>1</v>
      </c>
      <c r="AB26" s="1811">
        <v>1</v>
      </c>
      <c r="AC26" s="1811">
        <v>1</v>
      </c>
    </row>
    <row r="27" spans="1:29" s="117" customFormat="1" ht="15">
      <c r="A27" s="649"/>
      <c r="B27" s="1384" t="s">
        <v>2639</v>
      </c>
      <c r="C27" s="2604"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99"/>
      <c r="Q27" s="1795" t="str">
        <f t="shared" si="8"/>
        <v>公共配套设施</v>
      </c>
      <c r="R27" s="770" t="s">
        <v>17</v>
      </c>
      <c r="S27" s="771">
        <f>F27</f>
        <v>100</v>
      </c>
      <c r="T27" s="770" t="s">
        <v>17</v>
      </c>
      <c r="U27" s="771">
        <f>H27</f>
        <v>100</v>
      </c>
      <c r="V27" s="770" t="s">
        <v>17</v>
      </c>
      <c r="W27" s="771">
        <f>J27</f>
        <v>100</v>
      </c>
      <c r="X27" s="772"/>
      <c r="Y27" s="3299"/>
      <c r="Z27" s="55" t="str">
        <f>Q27</f>
        <v>公共配套设施</v>
      </c>
      <c r="AA27" s="1811">
        <f>D27/F27</f>
        <v>1</v>
      </c>
      <c r="AB27" s="1811">
        <f>D27/H27</f>
        <v>1</v>
      </c>
      <c r="AC27" s="1811">
        <f>D27/J27</f>
        <v>1</v>
      </c>
    </row>
    <row r="28" spans="1:29" s="117" customFormat="1" ht="15">
      <c r="A28" s="649"/>
      <c r="B28" s="456"/>
      <c r="C28" s="2972" t="s">
        <v>3190</v>
      </c>
      <c r="D28" s="448"/>
      <c r="E28" s="2971" t="s">
        <v>3190</v>
      </c>
      <c r="F28" s="448"/>
      <c r="G28" s="2971" t="s">
        <v>3190</v>
      </c>
      <c r="H28" s="448"/>
      <c r="I28" s="2967" t="s">
        <v>3190</v>
      </c>
      <c r="J28" s="448"/>
      <c r="K28" s="672"/>
      <c r="L28" s="1132"/>
      <c r="M28" s="1133"/>
      <c r="N28" s="1133"/>
      <c r="O28" s="1134"/>
      <c r="P28" s="3299"/>
      <c r="Q28" s="1795"/>
      <c r="R28" s="770"/>
      <c r="S28" s="771"/>
      <c r="T28" s="770"/>
      <c r="U28" s="771"/>
      <c r="V28" s="770"/>
      <c r="W28" s="771"/>
      <c r="X28" s="772"/>
      <c r="Y28" s="3299"/>
      <c r="Z28" s="55"/>
      <c r="AA28" s="1811">
        <v>1</v>
      </c>
      <c r="AB28" s="1811">
        <v>1</v>
      </c>
      <c r="AC28" s="1811">
        <v>1</v>
      </c>
    </row>
    <row r="29" spans="1:29" s="117" customFormat="1" ht="15">
      <c r="A29" s="649"/>
      <c r="B29" s="1384" t="s">
        <v>2640</v>
      </c>
      <c r="C29" s="2604"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99"/>
      <c r="Q29" s="1795" t="str">
        <f t="shared" ref="Q29" si="9">B29</f>
        <v>基础设施水平</v>
      </c>
      <c r="R29" s="770" t="s">
        <v>17</v>
      </c>
      <c r="S29" s="771">
        <f>F29</f>
        <v>100</v>
      </c>
      <c r="T29" s="770" t="s">
        <v>17</v>
      </c>
      <c r="U29" s="771">
        <f>H29</f>
        <v>100</v>
      </c>
      <c r="V29" s="770" t="s">
        <v>17</v>
      </c>
      <c r="W29" s="771">
        <f>J29</f>
        <v>100</v>
      </c>
      <c r="X29" s="772"/>
      <c r="Y29" s="3299"/>
      <c r="Z29" s="55" t="str">
        <f>Q29</f>
        <v>基础设施水平</v>
      </c>
      <c r="AA29" s="1811">
        <f>D29/F29</f>
        <v>1</v>
      </c>
      <c r="AB29" s="1811">
        <f>D29/H29</f>
        <v>1</v>
      </c>
      <c r="AC29" s="1811">
        <f>D29/J29</f>
        <v>1</v>
      </c>
    </row>
    <row r="30" spans="1:29" s="117" customFormat="1" ht="15">
      <c r="A30" s="649"/>
      <c r="B30" s="456"/>
      <c r="C30" s="2972" t="s">
        <v>3193</v>
      </c>
      <c r="D30" s="448"/>
      <c r="E30" s="2973" t="s">
        <v>3194</v>
      </c>
      <c r="F30" s="448"/>
      <c r="G30" s="2973" t="s">
        <v>3195</v>
      </c>
      <c r="H30" s="448"/>
      <c r="I30" s="2973" t="s">
        <v>3195</v>
      </c>
      <c r="J30" s="448"/>
      <c r="K30" s="672"/>
      <c r="L30" s="1132"/>
      <c r="M30" s="1133"/>
      <c r="N30" s="1133"/>
      <c r="O30" s="1134"/>
      <c r="P30" s="3299"/>
      <c r="Q30" s="1795"/>
      <c r="R30" s="770"/>
      <c r="S30" s="771"/>
      <c r="T30" s="770"/>
      <c r="U30" s="771"/>
      <c r="V30" s="770"/>
      <c r="W30" s="771"/>
      <c r="X30" s="772"/>
      <c r="Y30" s="3299"/>
      <c r="Z30" s="55"/>
      <c r="AA30" s="1811">
        <v>1</v>
      </c>
      <c r="AB30" s="1811">
        <v>1</v>
      </c>
      <c r="AC30" s="1811">
        <v>1</v>
      </c>
    </row>
    <row r="31" spans="1:29" ht="15">
      <c r="A31" s="428"/>
      <c r="B31" s="456" t="s">
        <v>2641</v>
      </c>
      <c r="C31" s="2970" t="s">
        <v>3196</v>
      </c>
      <c r="D31" s="435">
        <v>100</v>
      </c>
      <c r="E31" s="2974" t="s">
        <v>3197</v>
      </c>
      <c r="F31" s="435">
        <f>SUMIF(104:104,E31,105:105)-SUMIF(104:104,C31,105:105)+100</f>
        <v>100</v>
      </c>
      <c r="G31" s="2974" t="s">
        <v>3198</v>
      </c>
      <c r="H31" s="435">
        <f>SUMIF(104:104,G31,105:105)-SUMIF(104:104,C31,105:105)+100</f>
        <v>100</v>
      </c>
      <c r="I31" s="2974" t="s">
        <v>3199</v>
      </c>
      <c r="J31" s="435">
        <f>SUMIF(104:104,I31,105:105)-SUMIF(104:104,C31,105:105)+100</f>
        <v>102</v>
      </c>
      <c r="K31" s="673">
        <v>2</v>
      </c>
      <c r="L31" s="1140"/>
      <c r="M31" s="1131"/>
      <c r="N31" s="1131"/>
      <c r="O31" s="1139"/>
      <c r="P31" s="3299"/>
      <c r="Q31" s="1810" t="str">
        <f t="shared" si="8"/>
        <v>临街状况</v>
      </c>
      <c r="R31" s="774" t="s">
        <v>17</v>
      </c>
      <c r="S31" s="775">
        <f t="shared" ref="S31:S45" si="10">F31</f>
        <v>100</v>
      </c>
      <c r="T31" s="774" t="s">
        <v>17</v>
      </c>
      <c r="U31" s="775">
        <f t="shared" ref="U31:U45" si="11">H31</f>
        <v>100</v>
      </c>
      <c r="V31" s="774" t="s">
        <v>17</v>
      </c>
      <c r="W31" s="775">
        <f t="shared" ref="W31:W45" si="12">J31</f>
        <v>102</v>
      </c>
      <c r="X31" s="1813"/>
      <c r="Y31" s="3299"/>
      <c r="Z31" s="1814" t="str">
        <f t="shared" ref="Z31:Z45" si="13">Q31</f>
        <v>临街状况</v>
      </c>
      <c r="AA31" s="1811">
        <f t="shared" si="3"/>
        <v>1</v>
      </c>
      <c r="AB31" s="1811">
        <f t="shared" si="4"/>
        <v>1</v>
      </c>
      <c r="AC31" s="1811">
        <f t="shared" si="5"/>
        <v>0.98039215686274506</v>
      </c>
    </row>
    <row r="32" spans="1:29" ht="28.8">
      <c r="A32" s="428"/>
      <c r="B32" s="1384" t="s">
        <v>2676</v>
      </c>
      <c r="C32" s="454"/>
      <c r="D32" s="450">
        <v>100</v>
      </c>
      <c r="E32" s="452"/>
      <c r="F32" s="450">
        <f>SUMIF(106:106,E33,107:107)-SUMIF(106:106,C33,107:107)+100</f>
        <v>100</v>
      </c>
      <c r="G32" s="452"/>
      <c r="H32" s="450">
        <f>SUMIF(106:106,G33,107:107)-SUMIF(106:106,C33,107:107)+100</f>
        <v>100</v>
      </c>
      <c r="I32" s="454"/>
      <c r="J32" s="450">
        <f>SUMIF(106:106,I33,107:107)-SUMIF(106:106,C33,107:107)+100</f>
        <v>102</v>
      </c>
      <c r="K32" s="673">
        <v>1</v>
      </c>
      <c r="L32" s="1140"/>
      <c r="M32" s="1131"/>
      <c r="N32" s="1131"/>
      <c r="O32" s="1139"/>
      <c r="P32" s="3299"/>
      <c r="Q32" s="1810" t="str">
        <f t="shared" si="8"/>
        <v>毗邻道路的类型与等级</v>
      </c>
      <c r="R32" s="774" t="s">
        <v>17</v>
      </c>
      <c r="S32" s="775">
        <f t="shared" si="10"/>
        <v>100</v>
      </c>
      <c r="T32" s="774" t="s">
        <v>17</v>
      </c>
      <c r="U32" s="775">
        <f t="shared" si="11"/>
        <v>100</v>
      </c>
      <c r="V32" s="774" t="s">
        <v>17</v>
      </c>
      <c r="W32" s="775">
        <f t="shared" si="12"/>
        <v>102</v>
      </c>
      <c r="X32" s="1813"/>
      <c r="Y32" s="3299"/>
      <c r="Z32" s="1814" t="str">
        <f t="shared" si="13"/>
        <v>毗邻道路的类型与等级</v>
      </c>
      <c r="AA32" s="1811">
        <f t="shared" si="3"/>
        <v>1</v>
      </c>
      <c r="AB32" s="1811">
        <f t="shared" si="4"/>
        <v>1</v>
      </c>
      <c r="AC32" s="1811">
        <f t="shared" si="5"/>
        <v>0.98039215686274506</v>
      </c>
    </row>
    <row r="33" spans="1:29" ht="15.6" thickBot="1">
      <c r="A33" s="428"/>
      <c r="B33" s="456"/>
      <c r="C33" s="2967" t="s">
        <v>3200</v>
      </c>
      <c r="D33" s="448"/>
      <c r="E33" s="2971" t="s">
        <v>3200</v>
      </c>
      <c r="F33" s="448"/>
      <c r="G33" s="2971" t="s">
        <v>3201</v>
      </c>
      <c r="H33" s="448"/>
      <c r="I33" s="2967" t="s">
        <v>3202</v>
      </c>
      <c r="J33" s="448"/>
      <c r="K33" s="613"/>
      <c r="L33" s="1140"/>
      <c r="M33" s="1131"/>
      <c r="N33" s="1131"/>
      <c r="O33" s="1139"/>
      <c r="P33" s="3299"/>
      <c r="Q33" s="1810"/>
      <c r="R33" s="774"/>
      <c r="S33" s="775"/>
      <c r="T33" s="774"/>
      <c r="U33" s="775"/>
      <c r="V33" s="774"/>
      <c r="W33" s="775"/>
      <c r="X33" s="1813"/>
      <c r="Y33" s="3299"/>
      <c r="Z33" s="1814"/>
      <c r="AA33" s="1811">
        <v>1</v>
      </c>
      <c r="AB33" s="1811">
        <v>1</v>
      </c>
      <c r="AC33" s="1811">
        <v>1</v>
      </c>
    </row>
    <row r="34" spans="1:29" ht="15" hidden="1">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99"/>
      <c r="Q34" s="1810" t="str">
        <f t="shared" si="8"/>
        <v>土地级别</v>
      </c>
      <c r="R34" s="774" t="s">
        <v>17</v>
      </c>
      <c r="S34" s="775">
        <f t="shared" si="10"/>
        <v>100</v>
      </c>
      <c r="T34" s="774" t="s">
        <v>17</v>
      </c>
      <c r="U34" s="775">
        <f t="shared" si="11"/>
        <v>100</v>
      </c>
      <c r="V34" s="774" t="s">
        <v>17</v>
      </c>
      <c r="W34" s="775">
        <f t="shared" si="12"/>
        <v>100</v>
      </c>
      <c r="X34" s="1813"/>
      <c r="Y34" s="3299"/>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99"/>
      <c r="Q35" s="1810">
        <f t="shared" si="8"/>
        <v>111</v>
      </c>
      <c r="R35" s="774" t="s">
        <v>17</v>
      </c>
      <c r="S35" s="775">
        <f t="shared" si="10"/>
        <v>100</v>
      </c>
      <c r="T35" s="774" t="s">
        <v>17</v>
      </c>
      <c r="U35" s="775">
        <f t="shared" si="11"/>
        <v>100</v>
      </c>
      <c r="V35" s="774" t="s">
        <v>17</v>
      </c>
      <c r="W35" s="775">
        <f t="shared" si="12"/>
        <v>100</v>
      </c>
      <c r="X35" s="1813"/>
      <c r="Y35" s="3299"/>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0" t="s">
        <v>2551</v>
      </c>
      <c r="Q36" s="1810">
        <f t="shared" si="8"/>
        <v>111</v>
      </c>
      <c r="R36" s="774" t="s">
        <v>17</v>
      </c>
      <c r="S36" s="775">
        <f t="shared" si="10"/>
        <v>100</v>
      </c>
      <c r="T36" s="774" t="s">
        <v>17</v>
      </c>
      <c r="U36" s="775">
        <f t="shared" si="11"/>
        <v>100</v>
      </c>
      <c r="V36" s="774" t="s">
        <v>17</v>
      </c>
      <c r="W36" s="775">
        <f t="shared" si="12"/>
        <v>100</v>
      </c>
      <c r="X36" s="1813"/>
      <c r="Y36" s="3301" t="s">
        <v>2551</v>
      </c>
      <c r="Z36" s="1814">
        <f t="shared" si="13"/>
        <v>111</v>
      </c>
      <c r="AA36" s="1811">
        <f t="shared" si="3"/>
        <v>1</v>
      </c>
      <c r="AB36" s="1811">
        <f t="shared" si="4"/>
        <v>1</v>
      </c>
      <c r="AC36" s="1811">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01"/>
      <c r="Q37" s="1810">
        <f t="shared" si="8"/>
        <v>111</v>
      </c>
      <c r="R37" s="777" t="s">
        <v>17</v>
      </c>
      <c r="S37" s="778">
        <f t="shared" si="10"/>
        <v>100</v>
      </c>
      <c r="T37" s="777" t="s">
        <v>17</v>
      </c>
      <c r="U37" s="778">
        <f t="shared" si="11"/>
        <v>100</v>
      </c>
      <c r="V37" s="777" t="s">
        <v>17</v>
      </c>
      <c r="W37" s="778">
        <f t="shared" si="12"/>
        <v>100</v>
      </c>
      <c r="X37" s="779"/>
      <c r="Y37" s="3301"/>
      <c r="Z37" s="780">
        <f t="shared" si="13"/>
        <v>111</v>
      </c>
      <c r="AA37" s="1811">
        <f t="shared" si="3"/>
        <v>1</v>
      </c>
      <c r="AB37" s="1811">
        <f t="shared" si="4"/>
        <v>1</v>
      </c>
      <c r="AC37" s="1811">
        <f t="shared" si="5"/>
        <v>1</v>
      </c>
    </row>
    <row r="38" spans="1:29" ht="15.6">
      <c r="A38" s="472" t="s">
        <v>2549</v>
      </c>
      <c r="B38" s="456" t="s">
        <v>2736</v>
      </c>
      <c r="C38" s="679">
        <v>39501.19</v>
      </c>
      <c r="D38" s="467">
        <v>100</v>
      </c>
      <c r="E38" s="679">
        <f>土地案例!D3</f>
        <v>171986.6</v>
      </c>
      <c r="F38" s="467">
        <f>LOOKUP(E38,117:117,118:118)-LOOKUP(C38,117:117,118:118)+100</f>
        <v>106</v>
      </c>
      <c r="G38" s="679">
        <f>土地案例!D5</f>
        <v>50450.66</v>
      </c>
      <c r="H38" s="467">
        <f>LOOKUP(G38,117:117,118:118)-LOOKUP(C38,117:117,118:118)+100</f>
        <v>102</v>
      </c>
      <c r="I38" s="530">
        <f>土地案例!D7</f>
        <v>47314.37</v>
      </c>
      <c r="J38" s="467">
        <f>LOOKUP(I38,117:117,118:118)-LOOKUP(C38,117:117,118:118)+100</f>
        <v>100</v>
      </c>
      <c r="K38" s="613"/>
      <c r="L38" s="1140"/>
      <c r="M38" s="1131"/>
      <c r="N38" s="1131"/>
      <c r="O38" s="1139"/>
      <c r="P38" s="3301"/>
      <c r="Q38" s="1810" t="str">
        <f>B38</f>
        <v>宗地面积</v>
      </c>
      <c r="R38" s="774" t="s">
        <v>17</v>
      </c>
      <c r="S38" s="775">
        <f t="shared" si="10"/>
        <v>106</v>
      </c>
      <c r="T38" s="774" t="s">
        <v>17</v>
      </c>
      <c r="U38" s="775">
        <f t="shared" si="11"/>
        <v>102</v>
      </c>
      <c r="V38" s="774" t="s">
        <v>17</v>
      </c>
      <c r="W38" s="775">
        <f t="shared" si="12"/>
        <v>100</v>
      </c>
      <c r="X38" s="1813"/>
      <c r="Y38" s="3301"/>
      <c r="Z38" s="1814" t="str">
        <f t="shared" si="13"/>
        <v>宗地面积</v>
      </c>
      <c r="AA38" s="1811">
        <f t="shared" si="3"/>
        <v>0.94339622641509435</v>
      </c>
      <c r="AB38" s="1811">
        <f t="shared" si="4"/>
        <v>0.98039215686274506</v>
      </c>
      <c r="AC38" s="1811">
        <f t="shared" si="5"/>
        <v>1</v>
      </c>
    </row>
    <row r="39" spans="1:29" ht="15">
      <c r="A39" s="472"/>
      <c r="B39" s="422" t="s">
        <v>2737</v>
      </c>
      <c r="C39" s="2610" t="s">
        <v>3235</v>
      </c>
      <c r="D39" s="435">
        <v>100</v>
      </c>
      <c r="E39" s="2610" t="s">
        <v>3235</v>
      </c>
      <c r="F39" s="435">
        <f>SUMIF(119:119,E39,120:120)-SUMIF(119:119,C39,120:120)+100</f>
        <v>100</v>
      </c>
      <c r="G39" s="2610" t="s">
        <v>3235</v>
      </c>
      <c r="H39" s="435">
        <f>SUMIF(119:119,G39,120:120)-SUMIF(119:119,C39,120:120)+100</f>
        <v>100</v>
      </c>
      <c r="I39" s="2610" t="s">
        <v>3235</v>
      </c>
      <c r="J39" s="435">
        <f>SUMIF(119:119,I39,120:120)-SUMIF(119:119,C39,120:120)+100</f>
        <v>100</v>
      </c>
      <c r="K39" s="612">
        <v>2</v>
      </c>
      <c r="L39" s="1140"/>
      <c r="M39" s="1131"/>
      <c r="N39" s="1131"/>
      <c r="O39" s="1139"/>
      <c r="P39" s="3301"/>
      <c r="Q39" s="1810" t="str">
        <f t="shared" ref="Q39:Q45" si="14">B39</f>
        <v>宗地形状</v>
      </c>
      <c r="R39" s="774" t="s">
        <v>17</v>
      </c>
      <c r="S39" s="775">
        <f t="shared" si="10"/>
        <v>100</v>
      </c>
      <c r="T39" s="774" t="s">
        <v>17</v>
      </c>
      <c r="U39" s="775">
        <f t="shared" si="11"/>
        <v>100</v>
      </c>
      <c r="V39" s="774" t="s">
        <v>17</v>
      </c>
      <c r="W39" s="775">
        <f t="shared" si="12"/>
        <v>100</v>
      </c>
      <c r="X39" s="1813"/>
      <c r="Y39" s="3301"/>
      <c r="Z39" s="1814" t="str">
        <f t="shared" si="13"/>
        <v>宗地形状</v>
      </c>
      <c r="AA39" s="1811">
        <f t="shared" si="3"/>
        <v>1</v>
      </c>
      <c r="AB39" s="1811">
        <f t="shared" si="4"/>
        <v>1</v>
      </c>
      <c r="AC39" s="1811">
        <f t="shared" si="5"/>
        <v>1</v>
      </c>
    </row>
    <row r="40" spans="1:29" ht="15" hidden="1">
      <c r="A40" s="472"/>
      <c r="B40" s="422" t="s">
        <v>2738</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301"/>
      <c r="Q40" s="1810" t="str">
        <f t="shared" si="14"/>
        <v>临街宽度及深度</v>
      </c>
      <c r="R40" s="774" t="s">
        <v>17</v>
      </c>
      <c r="S40" s="775">
        <f t="shared" si="10"/>
        <v>100</v>
      </c>
      <c r="T40" s="774" t="s">
        <v>17</v>
      </c>
      <c r="U40" s="775">
        <f t="shared" si="11"/>
        <v>100</v>
      </c>
      <c r="V40" s="774" t="s">
        <v>17</v>
      </c>
      <c r="W40" s="775">
        <f t="shared" si="12"/>
        <v>100</v>
      </c>
      <c r="X40" s="1813"/>
      <c r="Y40" s="3301"/>
      <c r="Z40" s="1814" t="str">
        <f t="shared" si="13"/>
        <v>临街宽度及深度</v>
      </c>
      <c r="AA40" s="1811">
        <f t="shared" si="3"/>
        <v>1</v>
      </c>
      <c r="AB40" s="1811">
        <f t="shared" si="4"/>
        <v>1</v>
      </c>
      <c r="AC40" s="1811">
        <f t="shared" si="5"/>
        <v>1</v>
      </c>
    </row>
    <row r="41" spans="1:29" s="117" customFormat="1" ht="15">
      <c r="A41" s="473"/>
      <c r="B41" s="422" t="s">
        <v>2739</v>
      </c>
      <c r="C41" s="2697" t="s">
        <v>3221</v>
      </c>
      <c r="D41" s="136">
        <v>100</v>
      </c>
      <c r="E41" s="2697" t="s">
        <v>3225</v>
      </c>
      <c r="F41" s="435">
        <f>SUMIF(123:123,E41,124:124)-SUMIF(123:123,C41,124:124)+100</f>
        <v>94</v>
      </c>
      <c r="G41" s="2697" t="s">
        <v>3225</v>
      </c>
      <c r="H41" s="435">
        <f>SUMIF(123:123,G41,124:124)-SUMIF(123:123,C41,124:124)+100</f>
        <v>94</v>
      </c>
      <c r="I41" s="2697" t="s">
        <v>3225</v>
      </c>
      <c r="J41" s="435">
        <f>SUMIF(123:123,I41,124:124)-SUMIF(123:123,C41,124:124)+100</f>
        <v>94</v>
      </c>
      <c r="K41" s="612">
        <v>2</v>
      </c>
      <c r="L41" s="1132"/>
      <c r="M41" s="1133"/>
      <c r="N41" s="1133"/>
      <c r="O41" s="1134"/>
      <c r="P41" s="3301"/>
      <c r="Q41" s="1810" t="str">
        <f t="shared" si="14"/>
        <v>宗地开发程度</v>
      </c>
      <c r="R41" s="770" t="s">
        <v>17</v>
      </c>
      <c r="S41" s="771">
        <f t="shared" si="10"/>
        <v>94</v>
      </c>
      <c r="T41" s="770" t="s">
        <v>17</v>
      </c>
      <c r="U41" s="771">
        <f t="shared" si="11"/>
        <v>94</v>
      </c>
      <c r="V41" s="770" t="s">
        <v>17</v>
      </c>
      <c r="W41" s="771">
        <f t="shared" si="12"/>
        <v>94</v>
      </c>
      <c r="X41" s="772"/>
      <c r="Y41" s="3301"/>
      <c r="Z41" s="55" t="str">
        <f t="shared" si="13"/>
        <v>宗地开发程度</v>
      </c>
      <c r="AA41" s="773">
        <f t="shared" si="3"/>
        <v>1.0638297872340425</v>
      </c>
      <c r="AB41" s="773">
        <f t="shared" si="4"/>
        <v>1.0638297872340425</v>
      </c>
      <c r="AC41" s="773">
        <f t="shared" si="5"/>
        <v>1.0638297872340425</v>
      </c>
    </row>
    <row r="42" spans="1:29" ht="15.6" thickBot="1">
      <c r="A42" s="472"/>
      <c r="B42" s="422" t="s">
        <v>2740</v>
      </c>
      <c r="C42" s="2610" t="s">
        <v>3238</v>
      </c>
      <c r="D42" s="435">
        <v>100</v>
      </c>
      <c r="E42" s="2610" t="s">
        <v>3238</v>
      </c>
      <c r="F42" s="435">
        <f>SUMIF(125:125,E42,126:126)-SUMIF(125:125,C42,126:126)+100</f>
        <v>100</v>
      </c>
      <c r="G42" s="2610" t="s">
        <v>3238</v>
      </c>
      <c r="H42" s="435">
        <f>SUMIF(125:125,G42,126:126)-SUMIF(125:125,C42,126:126)+100</f>
        <v>100</v>
      </c>
      <c r="I42" s="2610" t="s">
        <v>3238</v>
      </c>
      <c r="J42" s="435">
        <f>SUMIF(125:125,I42,126:126)-SUMIF(125:125,C42,126:126)+100</f>
        <v>100</v>
      </c>
      <c r="K42" s="612">
        <v>2</v>
      </c>
      <c r="L42" s="1140"/>
      <c r="M42" s="1131"/>
      <c r="N42" s="1131"/>
      <c r="O42" s="1139"/>
      <c r="P42" s="3301" t="s">
        <v>2551</v>
      </c>
      <c r="Q42" s="1810" t="str">
        <f t="shared" si="14"/>
        <v>工程地质条件</v>
      </c>
      <c r="R42" s="774" t="s">
        <v>17</v>
      </c>
      <c r="S42" s="775">
        <f t="shared" si="10"/>
        <v>100</v>
      </c>
      <c r="T42" s="774" t="s">
        <v>17</v>
      </c>
      <c r="U42" s="775">
        <f t="shared" si="11"/>
        <v>100</v>
      </c>
      <c r="V42" s="774" t="s">
        <v>17</v>
      </c>
      <c r="W42" s="775">
        <f t="shared" si="12"/>
        <v>100</v>
      </c>
      <c r="X42" s="1813"/>
      <c r="Y42" s="3301" t="s">
        <v>2551</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01"/>
      <c r="Q43" s="1810">
        <f t="shared" si="14"/>
        <v>111</v>
      </c>
      <c r="R43" s="774" t="s">
        <v>17</v>
      </c>
      <c r="S43" s="775">
        <f t="shared" si="10"/>
        <v>100</v>
      </c>
      <c r="T43" s="774" t="s">
        <v>17</v>
      </c>
      <c r="U43" s="775">
        <f t="shared" si="11"/>
        <v>100</v>
      </c>
      <c r="V43" s="774" t="s">
        <v>17</v>
      </c>
      <c r="W43" s="775">
        <f t="shared" si="12"/>
        <v>100</v>
      </c>
      <c r="X43" s="1813"/>
      <c r="Y43" s="3301"/>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01"/>
      <c r="Q44" s="1810">
        <f t="shared" si="14"/>
        <v>111</v>
      </c>
      <c r="R44" s="774" t="s">
        <v>17</v>
      </c>
      <c r="S44" s="775">
        <f t="shared" si="10"/>
        <v>100</v>
      </c>
      <c r="T44" s="774" t="s">
        <v>17</v>
      </c>
      <c r="U44" s="775">
        <f t="shared" si="11"/>
        <v>100</v>
      </c>
      <c r="V44" s="774" t="s">
        <v>17</v>
      </c>
      <c r="W44" s="775">
        <f t="shared" si="12"/>
        <v>100</v>
      </c>
      <c r="X44" s="1813"/>
      <c r="Y44" s="3301"/>
      <c r="Z44" s="1814">
        <f t="shared" si="13"/>
        <v>111</v>
      </c>
      <c r="AA44" s="1811">
        <f t="shared" si="3"/>
        <v>1</v>
      </c>
      <c r="AB44" s="1811">
        <f t="shared" si="4"/>
        <v>1</v>
      </c>
      <c r="AC44" s="1811">
        <f t="shared" si="5"/>
        <v>1</v>
      </c>
    </row>
    <row r="45" spans="1:29" s="471" customFormat="1" ht="15.6"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01"/>
      <c r="Q45" s="1810">
        <f t="shared" si="14"/>
        <v>111</v>
      </c>
      <c r="R45" s="777" t="s">
        <v>17</v>
      </c>
      <c r="S45" s="778">
        <f t="shared" si="10"/>
        <v>100</v>
      </c>
      <c r="T45" s="777" t="s">
        <v>17</v>
      </c>
      <c r="U45" s="778">
        <f t="shared" si="11"/>
        <v>100</v>
      </c>
      <c r="V45" s="777" t="s">
        <v>17</v>
      </c>
      <c r="W45" s="778">
        <f t="shared" si="12"/>
        <v>100</v>
      </c>
      <c r="X45" s="779"/>
      <c r="Y45" s="3301"/>
      <c r="Z45" s="780">
        <f t="shared" si="13"/>
        <v>111</v>
      </c>
      <c r="AA45" s="1811">
        <f t="shared" si="3"/>
        <v>1</v>
      </c>
      <c r="AB45" s="1811">
        <f t="shared" si="4"/>
        <v>1</v>
      </c>
      <c r="AC45" s="1811">
        <f t="shared" si="5"/>
        <v>1</v>
      </c>
    </row>
    <row r="46" spans="1:29" ht="14.4">
      <c r="A46" s="479" t="s">
        <v>2705</v>
      </c>
      <c r="B46" s="2699" t="s">
        <v>2741</v>
      </c>
      <c r="C46" s="682" t="s">
        <v>1</v>
      </c>
      <c r="D46" s="481"/>
      <c r="E46" s="482">
        <v>5150</v>
      </c>
      <c r="F46" s="483"/>
      <c r="G46" s="484">
        <v>5200</v>
      </c>
      <c r="H46" s="485"/>
      <c r="I46" s="482">
        <v>5236</v>
      </c>
      <c r="J46" s="485"/>
      <c r="K46" s="783"/>
      <c r="L46" s="1143"/>
      <c r="M46" s="1144"/>
      <c r="N46" s="1131"/>
      <c r="O46" s="1144"/>
      <c r="P46" s="3283" t="str">
        <f>A46</f>
        <v>成交单价</v>
      </c>
      <c r="Q46" s="3283"/>
      <c r="R46" s="3296">
        <f>E46</f>
        <v>5150</v>
      </c>
      <c r="S46" s="3296"/>
      <c r="T46" s="3296">
        <f>G46</f>
        <v>5200</v>
      </c>
      <c r="U46" s="3296"/>
      <c r="V46" s="3296">
        <f>I46</f>
        <v>5236</v>
      </c>
      <c r="W46" s="3296"/>
      <c r="X46" s="759"/>
      <c r="Y46" s="781"/>
      <c r="Z46" s="759"/>
      <c r="AA46" s="759"/>
      <c r="AB46" s="759"/>
      <c r="AC46" s="759"/>
    </row>
    <row r="47" spans="1:29" ht="15" thickBot="1">
      <c r="A47" s="486" t="s">
        <v>2654</v>
      </c>
      <c r="B47" s="683"/>
      <c r="C47" s="490">
        <f>R48</f>
        <v>5373</v>
      </c>
      <c r="D47" s="489"/>
      <c r="E47" s="490">
        <f>R47</f>
        <v>5331</v>
      </c>
      <c r="F47" s="491"/>
      <c r="G47" s="488">
        <f>T47</f>
        <v>5428</v>
      </c>
      <c r="H47" s="489"/>
      <c r="I47" s="490">
        <f>V47</f>
        <v>5359</v>
      </c>
      <c r="J47" s="489"/>
      <c r="K47" s="784"/>
      <c r="L47" s="1143"/>
      <c r="M47" s="1144"/>
      <c r="N47" s="1144"/>
      <c r="O47" s="1144"/>
      <c r="P47" s="3283" t="str">
        <f>A47</f>
        <v>比较价值（元/平方米）</v>
      </c>
      <c r="Q47" s="3283"/>
      <c r="R47" s="3302">
        <f>ROUND(PRODUCT(R46,AA7:AA45),0)</f>
        <v>5331</v>
      </c>
      <c r="S47" s="3302"/>
      <c r="T47" s="3302">
        <f>ROUND(PRODUCT(T46,AB7:AB45),0)</f>
        <v>5428</v>
      </c>
      <c r="U47" s="3302"/>
      <c r="V47" s="3302">
        <f>ROUND(PRODUCT(V46,AC7:AC45),0)</f>
        <v>5359</v>
      </c>
      <c r="W47" s="3302"/>
      <c r="X47" s="759"/>
      <c r="Y47" s="759"/>
      <c r="Z47" s="759"/>
      <c r="AA47" s="759"/>
      <c r="AB47" s="759"/>
      <c r="AC47" s="759"/>
    </row>
    <row r="48" spans="1:29" ht="15" thickBot="1">
      <c r="A48" s="492" t="s">
        <v>3254</v>
      </c>
      <c r="B48" s="493"/>
      <c r="C48" s="494">
        <f>R48</f>
        <v>5373</v>
      </c>
      <c r="D48" s="494"/>
      <c r="E48" s="494"/>
      <c r="F48" s="494"/>
      <c r="G48" s="494"/>
      <c r="H48" s="494"/>
      <c r="I48" s="494"/>
      <c r="J48" s="494"/>
      <c r="K48" s="785"/>
      <c r="L48" s="1143"/>
      <c r="M48" s="1144"/>
      <c r="N48" s="1144"/>
      <c r="O48" s="1144"/>
      <c r="P48" s="3303" t="str">
        <f>A48</f>
        <v>估价对象比较价值（楼面单价，元/平方米）</v>
      </c>
      <c r="Q48" s="3304"/>
      <c r="R48" s="3305">
        <f>ROUND(AVERAGE(R47:V47),0)</f>
        <v>5373</v>
      </c>
      <c r="S48" s="3305"/>
      <c r="T48" s="3305"/>
      <c r="U48" s="3305"/>
      <c r="V48" s="3305"/>
      <c r="W48" s="330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f>IF(E46&lt;E47,E47/E46-1,E46/E47-1)</f>
        <v>3.5145631067961203E-2</v>
      </c>
      <c r="F51" s="500" t="str">
        <f>IF(OR(E51&gt;=0.3,E51&lt;=-0.3),"超过30%","")</f>
        <v/>
      </c>
      <c r="G51" s="499">
        <f>IF(G46&lt;G47,G47/G46-1,G46/G47-1)</f>
        <v>4.3846153846153868E-2</v>
      </c>
      <c r="H51" s="500" t="str">
        <f>IF(OR(G51&gt;=0.3,G51&lt;=-0.3),"超过30%","")</f>
        <v/>
      </c>
      <c r="I51" s="499">
        <f>IF(I46&lt;I47,I47/I46-1,I46/I47-1)</f>
        <v>2.3491214667685334E-2</v>
      </c>
      <c r="J51" s="500" t="str">
        <f>IF(OR(I51&gt;=0.3,I51&lt;=-0.3),"超过30%","")</f>
        <v/>
      </c>
      <c r="K51" s="1105"/>
      <c r="L51" s="1106"/>
      <c r="M51" s="1144"/>
      <c r="N51" s="1144"/>
      <c r="O51" s="1144"/>
    </row>
    <row r="52" spans="1:15" ht="13.5" customHeight="1">
      <c r="A52" s="1144"/>
      <c r="B52" s="1144"/>
      <c r="C52" s="497" t="s">
        <v>2657</v>
      </c>
      <c r="D52" s="501"/>
      <c r="E52" s="499">
        <f>IF(E47&lt;G47,G47/E47-1,E47/G47-1)</f>
        <v>1.8195460513974915E-2</v>
      </c>
      <c r="F52" s="500" t="str">
        <f>IF(OR(E52&gt;=0.2,E52&lt;=-0.2),"超过20%","")</f>
        <v/>
      </c>
      <c r="G52" s="499">
        <f>IF(G47&lt;I47,I47/G47-1,G47/I47-1)</f>
        <v>1.2875536480686733E-2</v>
      </c>
      <c r="H52" s="500" t="str">
        <f>IF(OR(G52&gt;=0.2,G52&lt;=-0.2),"超过20%","")</f>
        <v/>
      </c>
      <c r="I52" s="499">
        <f>IF(I47&lt;E47,E47/I47-1,I47/E47-1)</f>
        <v>5.252297880322665E-3</v>
      </c>
      <c r="J52" s="500" t="str">
        <f>IF(OR(I52&gt;=0.2,I52&lt;=-0.2),"超过20%","")</f>
        <v/>
      </c>
      <c r="K52" s="1105"/>
      <c r="L52" s="1106"/>
      <c r="M52" s="1144"/>
      <c r="N52" s="1144"/>
      <c r="O52" s="1144"/>
    </row>
    <row r="53" spans="1:15" s="502" customFormat="1" ht="13.5" customHeight="1">
      <c r="A53" s="1145"/>
      <c r="B53" s="1145"/>
      <c r="C53" s="497" t="s">
        <v>2658</v>
      </c>
      <c r="D53" s="501"/>
      <c r="E53" s="499">
        <f>IF(E46&lt;G46,G46/E46-1,E46/G46-1)</f>
        <v>9.7087378640776656E-3</v>
      </c>
      <c r="F53" s="500" t="str">
        <f>IF(OR(E53&gt;=0.3,E53&lt;=-0.3),"超过30%","")</f>
        <v/>
      </c>
      <c r="G53" s="499">
        <f>IF(G46&lt;I46,I46/G46-1,G46/I46-1)</f>
        <v>6.9230769230770317E-3</v>
      </c>
      <c r="H53" s="500" t="str">
        <f>IF(OR(G53&gt;=0.3,G53&lt;=-0.3),"超过30%","")</f>
        <v/>
      </c>
      <c r="I53" s="499">
        <f>IF(I46&lt;E46,E46/I46-1,I46/E46-1)</f>
        <v>1.6699029126213683E-2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2742</v>
      </c>
      <c r="B55" s="685" t="s">
        <v>2743</v>
      </c>
      <c r="C55" s="2700" t="s">
        <v>2744</v>
      </c>
      <c r="D55" s="2701" t="s">
        <v>2745</v>
      </c>
      <c r="E55" s="686" t="s">
        <v>2746</v>
      </c>
      <c r="F55" s="1107" t="s">
        <v>2747</v>
      </c>
      <c r="G55" s="3284" t="s">
        <v>2748</v>
      </c>
      <c r="H55" s="3306"/>
      <c r="I55" s="144" t="s">
        <v>2749</v>
      </c>
      <c r="J55" s="2702" t="str">
        <f>项目基本情况!F35</f>
        <v>武汉市</v>
      </c>
      <c r="K55" s="2703" t="s">
        <v>2750</v>
      </c>
      <c r="L55" s="1106"/>
      <c r="M55" s="1144"/>
      <c r="N55" s="1144"/>
      <c r="O55" s="1144"/>
    </row>
    <row r="56" spans="1:15" s="692" customFormat="1">
      <c r="A56" s="688" t="s">
        <v>2751</v>
      </c>
      <c r="B56" s="689">
        <f>C48</f>
        <v>5373</v>
      </c>
      <c r="C56" s="690">
        <v>1</v>
      </c>
      <c r="D56" s="1163">
        <v>1</v>
      </c>
      <c r="E56" s="690">
        <f>'数据-汇总表'!E8+'数据-汇总表'!E9</f>
        <v>55474.460000000014</v>
      </c>
      <c r="F56" s="1103">
        <f t="shared" ref="F56:F65" si="15">ROUND(B56*E56/10000,0)</f>
        <v>29806</v>
      </c>
      <c r="G56" s="3307"/>
      <c r="H56" s="3283"/>
      <c r="I56" s="1108">
        <v>1</v>
      </c>
      <c r="J56" s="1111">
        <v>1</v>
      </c>
      <c r="K56" s="1145"/>
      <c r="L56" s="941"/>
      <c r="M56" s="941"/>
      <c r="N56" s="941"/>
      <c r="O56" s="941"/>
    </row>
    <row r="57" spans="1:15" s="692" customFormat="1">
      <c r="A57" s="693" t="s">
        <v>2752</v>
      </c>
      <c r="B57" s="262">
        <f>ROUND($C$48*C57*D57,0)</f>
        <v>0</v>
      </c>
      <c r="C57" s="200">
        <f t="shared" ref="C57:C65" si="16">IF($C$55="北京市系数",I57,J57)</f>
        <v>0</v>
      </c>
      <c r="D57" s="1164">
        <v>0.25</v>
      </c>
      <c r="E57" s="694"/>
      <c r="F57" s="1103">
        <f t="shared" si="15"/>
        <v>0</v>
      </c>
      <c r="G57" s="3308" t="s">
        <v>2753</v>
      </c>
      <c r="H57" s="1104">
        <f>项目基本情况!B37</f>
        <v>0</v>
      </c>
      <c r="I57" s="1108">
        <f>SUMIF(修正!A45:A56,H57,修正!B45:B56)</f>
        <v>0</v>
      </c>
      <c r="J57" s="1112"/>
      <c r="K57" s="1144"/>
      <c r="L57" s="941"/>
      <c r="M57" s="941"/>
      <c r="N57" s="941"/>
      <c r="O57" s="941"/>
    </row>
    <row r="58" spans="1:15" s="692" customFormat="1">
      <c r="A58" s="693" t="s">
        <v>2754</v>
      </c>
      <c r="B58" s="262">
        <f t="shared" ref="B58:B65" si="17">ROUND($C$48*C58*D58,0)</f>
        <v>0</v>
      </c>
      <c r="C58" s="200">
        <f t="shared" si="16"/>
        <v>0</v>
      </c>
      <c r="D58" s="1164">
        <v>0.25</v>
      </c>
      <c r="E58" s="694"/>
      <c r="F58" s="1103">
        <f t="shared" si="15"/>
        <v>0</v>
      </c>
      <c r="G58" s="3308"/>
      <c r="H58" s="1104">
        <f>项目基本情况!B37</f>
        <v>0</v>
      </c>
      <c r="I58" s="1108">
        <f>SUMIF(修正!A45:A56,H58,修正!C45:C56)</f>
        <v>0</v>
      </c>
      <c r="J58" s="1112"/>
      <c r="K58" s="1145"/>
      <c r="L58" s="941"/>
      <c r="M58" s="941"/>
      <c r="N58" s="941"/>
      <c r="O58" s="941"/>
    </row>
    <row r="59" spans="1:15" s="692" customFormat="1">
      <c r="A59" s="693" t="s">
        <v>2755</v>
      </c>
      <c r="B59" s="262">
        <f t="shared" si="17"/>
        <v>0</v>
      </c>
      <c r="C59" s="200">
        <f t="shared" si="16"/>
        <v>0</v>
      </c>
      <c r="D59" s="1164">
        <v>0.25</v>
      </c>
      <c r="E59" s="694"/>
      <c r="F59" s="1103">
        <f t="shared" si="15"/>
        <v>0</v>
      </c>
      <c r="G59" s="3308"/>
      <c r="H59" s="1104">
        <f>项目基本情况!B37</f>
        <v>0</v>
      </c>
      <c r="I59" s="1108">
        <f>SUMIF(修正!A45:A56,H59,修正!D45:D56)</f>
        <v>0</v>
      </c>
      <c r="J59" s="1112"/>
      <c r="K59" s="1144"/>
      <c r="L59" s="941"/>
      <c r="M59" s="941"/>
      <c r="N59" s="941"/>
      <c r="O59" s="941"/>
    </row>
    <row r="60" spans="1:15" s="692" customFormat="1">
      <c r="A60" s="693" t="s">
        <v>2756</v>
      </c>
      <c r="B60" s="262">
        <f t="shared" si="17"/>
        <v>0</v>
      </c>
      <c r="C60" s="200">
        <f t="shared" si="16"/>
        <v>0</v>
      </c>
      <c r="D60" s="1164">
        <v>0.25</v>
      </c>
      <c r="E60" s="694"/>
      <c r="F60" s="1103">
        <f t="shared" si="15"/>
        <v>0</v>
      </c>
      <c r="G60" s="3308"/>
      <c r="H60" s="1104">
        <f>项目基本情况!B37</f>
        <v>0</v>
      </c>
      <c r="I60" s="1108">
        <f>SUMIF(修正!A45:A56,H60,修正!E45:E56)</f>
        <v>0</v>
      </c>
      <c r="J60" s="1112"/>
      <c r="K60" s="1145"/>
      <c r="L60" s="941"/>
      <c r="M60" s="941"/>
      <c r="N60" s="941"/>
      <c r="O60" s="941"/>
    </row>
    <row r="61" spans="1:15" s="692" customFormat="1">
      <c r="A61" s="693" t="s">
        <v>2757</v>
      </c>
      <c r="B61" s="262">
        <f t="shared" si="17"/>
        <v>0</v>
      </c>
      <c r="C61" s="200">
        <f t="shared" si="16"/>
        <v>0</v>
      </c>
      <c r="D61" s="1164">
        <v>0.25</v>
      </c>
      <c r="E61" s="261">
        <f>'数据-汇总表'!E11</f>
        <v>0</v>
      </c>
      <c r="F61" s="1103">
        <f t="shared" si="15"/>
        <v>0</v>
      </c>
      <c r="G61" s="2704" t="s">
        <v>2758</v>
      </c>
      <c r="H61" s="1104">
        <f>项目基本情况!C37</f>
        <v>0</v>
      </c>
      <c r="I61" s="1108">
        <f>SUMIF(修正!A45:A56,H61,修正!F45:F56)</f>
        <v>0</v>
      </c>
      <c r="J61" s="1112"/>
      <c r="K61" s="1144"/>
      <c r="L61" s="941"/>
      <c r="M61" s="941"/>
      <c r="N61" s="941"/>
      <c r="O61" s="941"/>
    </row>
    <row r="62" spans="1:15" s="692" customFormat="1">
      <c r="A62" s="693" t="s">
        <v>2759</v>
      </c>
      <c r="B62" s="262">
        <f t="shared" si="17"/>
        <v>0</v>
      </c>
      <c r="C62" s="200">
        <f t="shared" si="16"/>
        <v>0</v>
      </c>
      <c r="D62" s="1164">
        <v>0.25</v>
      </c>
      <c r="E62" s="261">
        <f>'数据-汇总表'!E12</f>
        <v>0</v>
      </c>
      <c r="F62" s="1103">
        <f t="shared" si="15"/>
        <v>0</v>
      </c>
      <c r="G62" s="1109" t="s">
        <v>2760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2761</v>
      </c>
      <c r="B63" s="262">
        <f t="shared" si="17"/>
        <v>0</v>
      </c>
      <c r="C63" s="200">
        <f t="shared" si="16"/>
        <v>0</v>
      </c>
      <c r="D63" s="1164">
        <v>0.25</v>
      </c>
      <c r="E63" s="261">
        <f>'数据-汇总表'!E13</f>
        <v>0</v>
      </c>
      <c r="F63" s="1103">
        <f t="shared" si="15"/>
        <v>0</v>
      </c>
      <c r="G63" s="1109" t="s">
        <v>2762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2763</v>
      </c>
      <c r="B64" s="262">
        <f t="shared" si="17"/>
        <v>0</v>
      </c>
      <c r="C64" s="200">
        <f t="shared" si="16"/>
        <v>0</v>
      </c>
      <c r="D64" s="1164">
        <v>0.25</v>
      </c>
      <c r="E64" s="261">
        <f>'数据-汇总表'!E14</f>
        <v>0</v>
      </c>
      <c r="F64" s="1103">
        <f t="shared" si="15"/>
        <v>0</v>
      </c>
      <c r="G64" s="2704" t="s">
        <v>2753</v>
      </c>
      <c r="H64" s="1104">
        <f>项目基本情况!B37</f>
        <v>0</v>
      </c>
      <c r="I64" s="1108">
        <f>SUMIF(修正!A45:A56,H64,修正!H45:H56)</f>
        <v>0</v>
      </c>
      <c r="J64" s="1112"/>
      <c r="K64" s="1145"/>
      <c r="L64" s="941"/>
      <c r="M64" s="941"/>
      <c r="N64" s="941"/>
      <c r="O64" s="941"/>
    </row>
    <row r="65" spans="1:17" s="692" customFormat="1" ht="14.4" thickBot="1">
      <c r="A65" s="693" t="s">
        <v>2764</v>
      </c>
      <c r="B65" s="262">
        <f t="shared" si="17"/>
        <v>0</v>
      </c>
      <c r="C65" s="200">
        <f t="shared" si="16"/>
        <v>0</v>
      </c>
      <c r="D65" s="1164">
        <v>0.25</v>
      </c>
      <c r="E65" s="261">
        <f>'数据-汇总表'!E15</f>
        <v>0</v>
      </c>
      <c r="F65" s="1103">
        <f t="shared" si="15"/>
        <v>0</v>
      </c>
      <c r="G65" s="2705" t="s">
        <v>2758</v>
      </c>
      <c r="H65" s="1114">
        <f>项目基本情况!C37</f>
        <v>0</v>
      </c>
      <c r="I65" s="1110">
        <f>SUMIF(修正!A45:A56,H65,修正!H45:H56)</f>
        <v>0</v>
      </c>
      <c r="J65" s="1113"/>
      <c r="K65" s="1144"/>
      <c r="L65" s="941"/>
      <c r="M65" s="941"/>
      <c r="N65" s="941"/>
      <c r="O65" s="941"/>
    </row>
    <row r="66" spans="1:17" s="692" customFormat="1" thickBot="1">
      <c r="A66" s="695" t="s">
        <v>2765</v>
      </c>
      <c r="B66" s="696" t="s">
        <v>28</v>
      </c>
      <c r="C66" s="696" t="s">
        <v>29</v>
      </c>
      <c r="D66" s="696" t="s">
        <v>1026</v>
      </c>
      <c r="E66" s="696">
        <f>IF(B46="楼面地价",SUM(E56:E65),'数据-汇总表'!D3)</f>
        <v>55474.460000000014</v>
      </c>
      <c r="F66" s="697">
        <f>IF(B46="楼面地价",SUM(F56:F65),ROUND(C48*E66/10000,0))</f>
        <v>29806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2.2" thickBot="1">
      <c r="A69" s="763" t="s">
        <v>2659</v>
      </c>
      <c r="B69" s="759"/>
      <c r="C69" s="764"/>
      <c r="D69" s="764"/>
      <c r="E69" s="764"/>
      <c r="F69" s="765"/>
      <c r="G69" s="765"/>
      <c r="H69" s="764"/>
      <c r="I69" s="764"/>
      <c r="J69" s="1159"/>
      <c r="K69" s="1160"/>
      <c r="L69" s="1161"/>
      <c r="M69" s="1159"/>
      <c r="N69" s="1159"/>
      <c r="O69" s="1159"/>
      <c r="P69" s="503"/>
      <c r="Q69" s="504"/>
    </row>
    <row r="70" spans="1:17" s="508" customFormat="1" ht="14.4">
      <c r="A70" s="2706" t="s">
        <v>2766</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07" t="s">
        <v>2767</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v>93</v>
      </c>
      <c r="K71" s="595"/>
      <c r="L71" s="595"/>
      <c r="M71" s="1567"/>
      <c r="N71" s="595"/>
      <c r="O71" s="1568"/>
      <c r="P71" s="504"/>
    </row>
    <row r="72" spans="1:17" s="117" customFormat="1" ht="15" thickBot="1">
      <c r="A72" s="515" t="s">
        <v>2570</v>
      </c>
      <c r="B72" s="516"/>
      <c r="C72" s="517"/>
      <c r="D72" s="518"/>
      <c r="E72" s="518"/>
      <c r="F72" s="518"/>
      <c r="G72" s="518"/>
      <c r="H72" s="518"/>
      <c r="I72" s="518"/>
      <c r="J72" s="518"/>
      <c r="K72" s="518"/>
      <c r="L72" s="518"/>
      <c r="M72" s="519"/>
      <c r="N72" s="518"/>
      <c r="O72" s="1162"/>
      <c r="P72" s="504"/>
      <c r="Q72" s="504"/>
    </row>
    <row r="73" spans="1:17" s="117" customFormat="1" ht="14.4">
      <c r="A73" s="521" t="s">
        <v>2536</v>
      </c>
      <c r="B73" s="510"/>
      <c r="C73" s="522" t="s">
        <v>2637</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2573</v>
      </c>
      <c r="B75" s="528" t="s">
        <v>2540</v>
      </c>
      <c r="C75" s="3008" t="s">
        <v>3234</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2543</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v>1</v>
      </c>
      <c r="E80" s="549">
        <v>2</v>
      </c>
      <c r="F80" s="549">
        <v>3</v>
      </c>
      <c r="G80" s="549">
        <v>4</v>
      </c>
      <c r="H80" s="549">
        <v>5</v>
      </c>
      <c r="I80" s="549"/>
      <c r="J80" s="549"/>
      <c r="K80" s="550"/>
      <c r="L80" s="551"/>
      <c r="M80" s="552"/>
      <c r="N80" s="1152"/>
      <c r="O80" s="1152"/>
      <c r="P80" s="45"/>
      <c r="Q80" s="504"/>
    </row>
    <row r="81" spans="1:17" ht="14.4"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4.4"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hidden="1" thickBot="1">
      <c r="A83" s="553"/>
      <c r="B83" s="543"/>
      <c r="C83" s="560"/>
      <c r="D83" s="536"/>
      <c r="E83" s="536"/>
      <c r="F83" s="536"/>
      <c r="G83" s="536"/>
      <c r="H83" s="536"/>
      <c r="I83" s="536"/>
      <c r="J83" s="536"/>
      <c r="K83" s="536"/>
      <c r="L83" s="536"/>
      <c r="M83" s="537"/>
      <c r="N83" s="1153"/>
      <c r="O83" s="1153"/>
      <c r="P83" s="558"/>
      <c r="Q83" s="559"/>
    </row>
    <row r="84" spans="1:17" s="471" customFormat="1" ht="14.4"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4.4" hidden="1" thickBot="1">
      <c r="A85" s="553"/>
      <c r="B85" s="543"/>
      <c r="C85" s="560"/>
      <c r="D85" s="560"/>
      <c r="E85" s="560"/>
      <c r="F85" s="560"/>
      <c r="G85" s="560"/>
      <c r="H85" s="562"/>
      <c r="I85" s="562"/>
      <c r="J85" s="562"/>
      <c r="K85" s="562"/>
      <c r="L85" s="562"/>
      <c r="M85" s="563"/>
      <c r="N85" s="1154"/>
      <c r="O85" s="1154"/>
      <c r="P85" s="558"/>
      <c r="Q85" s="559"/>
    </row>
    <row r="86" spans="1:17" s="471" customFormat="1" ht="14.4"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4.4"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4.4"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 thickTop="1">
      <c r="A90" s="534"/>
      <c r="B90" s="538" t="s">
        <v>2768</v>
      </c>
      <c r="C90" s="578" t="s">
        <v>2582</v>
      </c>
      <c r="D90" s="578" t="s">
        <v>2583</v>
      </c>
      <c r="E90" s="578" t="s">
        <v>2584</v>
      </c>
      <c r="F90" s="578" t="s">
        <v>2585</v>
      </c>
      <c r="G90" s="578" t="s">
        <v>2586</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2769</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9.4" thickTop="1">
      <c r="A98" s="579"/>
      <c r="B98" s="538" t="s">
        <v>2770</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4.4"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4.4"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9.4" thickTop="1">
      <c r="A106" s="534"/>
      <c r="B106" s="538" t="s">
        <v>2676</v>
      </c>
      <c r="C106" s="2976" t="s">
        <v>3202</v>
      </c>
      <c r="D106" s="2976" t="s">
        <v>3205</v>
      </c>
      <c r="E106" s="2976" t="s">
        <v>3200</v>
      </c>
      <c r="F106" s="554"/>
      <c r="G106" s="554"/>
      <c r="H106" s="583"/>
      <c r="I106" s="583"/>
      <c r="J106" s="583"/>
      <c r="K106" s="584"/>
      <c r="L106" s="585"/>
      <c r="M106" s="586"/>
      <c r="N106" s="1152"/>
      <c r="O106" s="1152"/>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 hidden="1" thickTop="1">
      <c r="A108" s="534"/>
      <c r="B108" s="538" t="s">
        <v>2735</v>
      </c>
      <c r="C108" s="583"/>
      <c r="D108" s="583"/>
      <c r="E108" s="583"/>
      <c r="F108" s="583"/>
      <c r="G108" s="583"/>
      <c r="H108" s="583"/>
      <c r="I108" s="583"/>
      <c r="J108" s="583"/>
      <c r="K108" s="584"/>
      <c r="L108" s="585"/>
      <c r="M108" s="586"/>
      <c r="N108" s="1152"/>
      <c r="O108" s="1152"/>
      <c r="P108" s="45"/>
      <c r="Q108" s="504"/>
    </row>
    <row r="109" spans="1:17" ht="14.4"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4.4" hidden="1" thickBot="1">
      <c r="A111" s="534"/>
      <c r="B111" s="569"/>
      <c r="C111" s="560"/>
      <c r="D111" s="560"/>
      <c r="E111" s="560"/>
      <c r="F111" s="560"/>
      <c r="G111" s="591"/>
      <c r="H111" s="591"/>
      <c r="I111" s="591"/>
      <c r="J111" s="591"/>
      <c r="K111" s="591"/>
      <c r="L111" s="591"/>
      <c r="M111" s="592"/>
      <c r="N111" s="1153"/>
      <c r="O111" s="1153"/>
      <c r="P111" s="45"/>
      <c r="Q111" s="504"/>
    </row>
    <row r="112" spans="1:17" ht="14.4"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4.4"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hidden="1" thickBot="1">
      <c r="A115" s="553"/>
      <c r="B115" s="546"/>
      <c r="C115" s="512"/>
      <c r="D115" s="677"/>
      <c r="E115" s="677"/>
      <c r="F115" s="677"/>
      <c r="G115" s="677"/>
      <c r="H115" s="677"/>
      <c r="I115" s="677"/>
      <c r="J115" s="677"/>
      <c r="K115" s="677"/>
      <c r="L115" s="677"/>
      <c r="M115" s="699"/>
      <c r="N115" s="1153"/>
      <c r="O115" s="1153"/>
      <c r="P115" s="558"/>
      <c r="Q115" s="559"/>
    </row>
    <row r="116" spans="1:17" ht="28.2" thickTop="1">
      <c r="A116" s="527" t="s">
        <v>2549</v>
      </c>
      <c r="B116" s="528" t="s">
        <v>2775</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4.4" thickBot="1">
      <c r="A118" s="534"/>
      <c r="B118" s="543"/>
      <c r="C118" s="570">
        <v>100</v>
      </c>
      <c r="D118" s="591">
        <v>102</v>
      </c>
      <c r="E118" s="591">
        <v>104</v>
      </c>
      <c r="F118" s="591">
        <v>106</v>
      </c>
      <c r="G118" s="591">
        <v>108</v>
      </c>
      <c r="H118" s="591">
        <v>110</v>
      </c>
      <c r="I118" s="591">
        <v>112</v>
      </c>
      <c r="J118" s="591"/>
      <c r="K118" s="591"/>
      <c r="L118" s="591"/>
      <c r="M118" s="592"/>
      <c r="N118" s="1153"/>
      <c r="O118" s="1153"/>
      <c r="P118" s="45"/>
      <c r="Q118" s="504"/>
    </row>
    <row r="119" spans="1:17" ht="15" thickTop="1">
      <c r="A119" s="599"/>
      <c r="B119" s="538" t="s">
        <v>2776</v>
      </c>
      <c r="C119" s="3009" t="s">
        <v>3236</v>
      </c>
      <c r="D119" s="3009" t="s">
        <v>3237</v>
      </c>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2976" t="s">
        <v>3222</v>
      </c>
      <c r="D123" s="2976" t="s">
        <v>3223</v>
      </c>
      <c r="E123" s="2976" t="s">
        <v>3224</v>
      </c>
      <c r="F123" s="2976" t="s">
        <v>3226</v>
      </c>
      <c r="G123" s="554"/>
      <c r="H123" s="583"/>
      <c r="I123" s="583"/>
      <c r="J123" s="583"/>
      <c r="K123" s="584"/>
      <c r="L123" s="585"/>
      <c r="M123" s="586"/>
      <c r="N123" s="1154"/>
      <c r="O123" s="1154"/>
      <c r="P123" s="558"/>
      <c r="Q123" s="559"/>
    </row>
    <row r="124" spans="1:17" s="471" customFormat="1" ht="14.4"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2779</v>
      </c>
      <c r="C125" s="2976" t="s">
        <v>3239</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topLeftCell="A28" workbookViewId="0">
      <selection activeCell="E34" sqref="E34"/>
    </sheetView>
  </sheetViews>
  <sheetFormatPr defaultRowHeight="14.4"/>
  <cols>
    <col min="1" max="1" width="45.88671875" style="2961" customWidth="1"/>
    <col min="2" max="2" width="6.21875" style="2961" customWidth="1"/>
    <col min="3" max="3" width="16.33203125" style="2961" customWidth="1"/>
    <col min="4" max="5" width="13.88671875" style="2961" customWidth="1"/>
    <col min="6" max="6" width="8.77734375" style="2961" customWidth="1"/>
    <col min="7" max="7" width="10.77734375" style="2961" customWidth="1"/>
    <col min="8" max="8" width="7.88671875" style="2961" customWidth="1"/>
    <col min="9" max="9" width="12.109375" style="2961" customWidth="1"/>
    <col min="10" max="11" width="10.6640625" style="2961" customWidth="1"/>
    <col min="12" max="12" width="14.44140625" style="2961" customWidth="1"/>
    <col min="13" max="13" width="8.88671875" style="2961" customWidth="1"/>
    <col min="14" max="14" width="6.6640625" style="2962" customWidth="1"/>
    <col min="15" max="15" width="38.77734375" style="2961" customWidth="1"/>
    <col min="16" max="16" width="7.88671875" style="2961" customWidth="1"/>
    <col min="17" max="258" width="9" style="2961"/>
    <col min="259" max="259" width="45.88671875" style="2961" customWidth="1"/>
    <col min="260" max="260" width="6.21875" style="2961" customWidth="1"/>
    <col min="261" max="263" width="13.88671875" style="2961" customWidth="1"/>
    <col min="264" max="264" width="16.21875" style="2961" customWidth="1"/>
    <col min="265" max="265" width="7.88671875" style="2961" customWidth="1"/>
    <col min="266" max="266" width="9" style="2961" customWidth="1"/>
    <col min="267" max="268" width="10.6640625" style="2961" customWidth="1"/>
    <col min="269" max="269" width="14.33203125" style="2961" customWidth="1"/>
    <col min="270" max="270" width="6.21875" style="2961" customWidth="1"/>
    <col min="271" max="271" width="38.77734375" style="2961" customWidth="1"/>
    <col min="272" max="272" width="7.88671875" style="2961" customWidth="1"/>
    <col min="273" max="514" width="9" style="2961"/>
    <col min="515" max="515" width="45.88671875" style="2961" customWidth="1"/>
    <col min="516" max="516" width="6.21875" style="2961" customWidth="1"/>
    <col min="517" max="519" width="13.88671875" style="2961" customWidth="1"/>
    <col min="520" max="520" width="16.21875" style="2961" customWidth="1"/>
    <col min="521" max="521" width="7.88671875" style="2961" customWidth="1"/>
    <col min="522" max="522" width="9" style="2961" customWidth="1"/>
    <col min="523" max="524" width="10.6640625" style="2961" customWidth="1"/>
    <col min="525" max="525" width="14.33203125" style="2961" customWidth="1"/>
    <col min="526" max="526" width="6.21875" style="2961" customWidth="1"/>
    <col min="527" max="527" width="38.77734375" style="2961" customWidth="1"/>
    <col min="528" max="528" width="7.88671875" style="2961" customWidth="1"/>
    <col min="529" max="770" width="9" style="2961"/>
    <col min="771" max="771" width="45.88671875" style="2961" customWidth="1"/>
    <col min="772" max="772" width="6.21875" style="2961" customWidth="1"/>
    <col min="773" max="775" width="13.88671875" style="2961" customWidth="1"/>
    <col min="776" max="776" width="16.21875" style="2961" customWidth="1"/>
    <col min="777" max="777" width="7.88671875" style="2961" customWidth="1"/>
    <col min="778" max="778" width="9" style="2961" customWidth="1"/>
    <col min="779" max="780" width="10.6640625" style="2961" customWidth="1"/>
    <col min="781" max="781" width="14.33203125" style="2961" customWidth="1"/>
    <col min="782" max="782" width="6.21875" style="2961" customWidth="1"/>
    <col min="783" max="783" width="38.77734375" style="2961" customWidth="1"/>
    <col min="784" max="784" width="7.88671875" style="2961" customWidth="1"/>
    <col min="785" max="1026" width="9" style="2961"/>
    <col min="1027" max="1027" width="45.88671875" style="2961" customWidth="1"/>
    <col min="1028" max="1028" width="6.21875" style="2961" customWidth="1"/>
    <col min="1029" max="1031" width="13.88671875" style="2961" customWidth="1"/>
    <col min="1032" max="1032" width="16.21875" style="2961" customWidth="1"/>
    <col min="1033" max="1033" width="7.88671875" style="2961" customWidth="1"/>
    <col min="1034" max="1034" width="9" style="2961" customWidth="1"/>
    <col min="1035" max="1036" width="10.6640625" style="2961" customWidth="1"/>
    <col min="1037" max="1037" width="14.33203125" style="2961" customWidth="1"/>
    <col min="1038" max="1038" width="6.21875" style="2961" customWidth="1"/>
    <col min="1039" max="1039" width="38.77734375" style="2961" customWidth="1"/>
    <col min="1040" max="1040" width="7.88671875" style="2961" customWidth="1"/>
    <col min="1041" max="1282" width="9" style="2961"/>
    <col min="1283" max="1283" width="45.88671875" style="2961" customWidth="1"/>
    <col min="1284" max="1284" width="6.21875" style="2961" customWidth="1"/>
    <col min="1285" max="1287" width="13.88671875" style="2961" customWidth="1"/>
    <col min="1288" max="1288" width="16.21875" style="2961" customWidth="1"/>
    <col min="1289" max="1289" width="7.88671875" style="2961" customWidth="1"/>
    <col min="1290" max="1290" width="9" style="2961" customWidth="1"/>
    <col min="1291" max="1292" width="10.6640625" style="2961" customWidth="1"/>
    <col min="1293" max="1293" width="14.33203125" style="2961" customWidth="1"/>
    <col min="1294" max="1294" width="6.21875" style="2961" customWidth="1"/>
    <col min="1295" max="1295" width="38.77734375" style="2961" customWidth="1"/>
    <col min="1296" max="1296" width="7.88671875" style="2961" customWidth="1"/>
    <col min="1297" max="1538" width="9" style="2961"/>
    <col min="1539" max="1539" width="45.88671875" style="2961" customWidth="1"/>
    <col min="1540" max="1540" width="6.21875" style="2961" customWidth="1"/>
    <col min="1541" max="1543" width="13.88671875" style="2961" customWidth="1"/>
    <col min="1544" max="1544" width="16.21875" style="2961" customWidth="1"/>
    <col min="1545" max="1545" width="7.88671875" style="2961" customWidth="1"/>
    <col min="1546" max="1546" width="9" style="2961" customWidth="1"/>
    <col min="1547" max="1548" width="10.6640625" style="2961" customWidth="1"/>
    <col min="1549" max="1549" width="14.33203125" style="2961" customWidth="1"/>
    <col min="1550" max="1550" width="6.21875" style="2961" customWidth="1"/>
    <col min="1551" max="1551" width="38.77734375" style="2961" customWidth="1"/>
    <col min="1552" max="1552" width="7.88671875" style="2961" customWidth="1"/>
    <col min="1553" max="1794" width="9" style="2961"/>
    <col min="1795" max="1795" width="45.88671875" style="2961" customWidth="1"/>
    <col min="1796" max="1796" width="6.21875" style="2961" customWidth="1"/>
    <col min="1797" max="1799" width="13.88671875" style="2961" customWidth="1"/>
    <col min="1800" max="1800" width="16.21875" style="2961" customWidth="1"/>
    <col min="1801" max="1801" width="7.88671875" style="2961" customWidth="1"/>
    <col min="1802" max="1802" width="9" style="2961" customWidth="1"/>
    <col min="1803" max="1804" width="10.6640625" style="2961" customWidth="1"/>
    <col min="1805" max="1805" width="14.33203125" style="2961" customWidth="1"/>
    <col min="1806" max="1806" width="6.21875" style="2961" customWidth="1"/>
    <col min="1807" max="1807" width="38.77734375" style="2961" customWidth="1"/>
    <col min="1808" max="1808" width="7.88671875" style="2961" customWidth="1"/>
    <col min="1809" max="2050" width="9" style="2961"/>
    <col min="2051" max="2051" width="45.88671875" style="2961" customWidth="1"/>
    <col min="2052" max="2052" width="6.21875" style="2961" customWidth="1"/>
    <col min="2053" max="2055" width="13.88671875" style="2961" customWidth="1"/>
    <col min="2056" max="2056" width="16.21875" style="2961" customWidth="1"/>
    <col min="2057" max="2057" width="7.88671875" style="2961" customWidth="1"/>
    <col min="2058" max="2058" width="9" style="2961" customWidth="1"/>
    <col min="2059" max="2060" width="10.6640625" style="2961" customWidth="1"/>
    <col min="2061" max="2061" width="14.33203125" style="2961" customWidth="1"/>
    <col min="2062" max="2062" width="6.21875" style="2961" customWidth="1"/>
    <col min="2063" max="2063" width="38.77734375" style="2961" customWidth="1"/>
    <col min="2064" max="2064" width="7.88671875" style="2961" customWidth="1"/>
    <col min="2065" max="2306" width="9" style="2961"/>
    <col min="2307" max="2307" width="45.88671875" style="2961" customWidth="1"/>
    <col min="2308" max="2308" width="6.21875" style="2961" customWidth="1"/>
    <col min="2309" max="2311" width="13.88671875" style="2961" customWidth="1"/>
    <col min="2312" max="2312" width="16.21875" style="2961" customWidth="1"/>
    <col min="2313" max="2313" width="7.88671875" style="2961" customWidth="1"/>
    <col min="2314" max="2314" width="9" style="2961" customWidth="1"/>
    <col min="2315" max="2316" width="10.6640625" style="2961" customWidth="1"/>
    <col min="2317" max="2317" width="14.33203125" style="2961" customWidth="1"/>
    <col min="2318" max="2318" width="6.21875" style="2961" customWidth="1"/>
    <col min="2319" max="2319" width="38.77734375" style="2961" customWidth="1"/>
    <col min="2320" max="2320" width="7.88671875" style="2961" customWidth="1"/>
    <col min="2321" max="2562" width="9" style="2961"/>
    <col min="2563" max="2563" width="45.88671875" style="2961" customWidth="1"/>
    <col min="2564" max="2564" width="6.21875" style="2961" customWidth="1"/>
    <col min="2565" max="2567" width="13.88671875" style="2961" customWidth="1"/>
    <col min="2568" max="2568" width="16.21875" style="2961" customWidth="1"/>
    <col min="2569" max="2569" width="7.88671875" style="2961" customWidth="1"/>
    <col min="2570" max="2570" width="9" style="2961" customWidth="1"/>
    <col min="2571" max="2572" width="10.6640625" style="2961" customWidth="1"/>
    <col min="2573" max="2573" width="14.33203125" style="2961" customWidth="1"/>
    <col min="2574" max="2574" width="6.21875" style="2961" customWidth="1"/>
    <col min="2575" max="2575" width="38.77734375" style="2961" customWidth="1"/>
    <col min="2576" max="2576" width="7.88671875" style="2961" customWidth="1"/>
    <col min="2577" max="2818" width="9" style="2961"/>
    <col min="2819" max="2819" width="45.88671875" style="2961" customWidth="1"/>
    <col min="2820" max="2820" width="6.21875" style="2961" customWidth="1"/>
    <col min="2821" max="2823" width="13.88671875" style="2961" customWidth="1"/>
    <col min="2824" max="2824" width="16.21875" style="2961" customWidth="1"/>
    <col min="2825" max="2825" width="7.88671875" style="2961" customWidth="1"/>
    <col min="2826" max="2826" width="9" style="2961" customWidth="1"/>
    <col min="2827" max="2828" width="10.6640625" style="2961" customWidth="1"/>
    <col min="2829" max="2829" width="14.33203125" style="2961" customWidth="1"/>
    <col min="2830" max="2830" width="6.21875" style="2961" customWidth="1"/>
    <col min="2831" max="2831" width="38.77734375" style="2961" customWidth="1"/>
    <col min="2832" max="2832" width="7.88671875" style="2961" customWidth="1"/>
    <col min="2833" max="3074" width="9" style="2961"/>
    <col min="3075" max="3075" width="45.88671875" style="2961" customWidth="1"/>
    <col min="3076" max="3076" width="6.21875" style="2961" customWidth="1"/>
    <col min="3077" max="3079" width="13.88671875" style="2961" customWidth="1"/>
    <col min="3080" max="3080" width="16.21875" style="2961" customWidth="1"/>
    <col min="3081" max="3081" width="7.88671875" style="2961" customWidth="1"/>
    <col min="3082" max="3082" width="9" style="2961" customWidth="1"/>
    <col min="3083" max="3084" width="10.6640625" style="2961" customWidth="1"/>
    <col min="3085" max="3085" width="14.33203125" style="2961" customWidth="1"/>
    <col min="3086" max="3086" width="6.21875" style="2961" customWidth="1"/>
    <col min="3087" max="3087" width="38.77734375" style="2961" customWidth="1"/>
    <col min="3088" max="3088" width="7.88671875" style="2961" customWidth="1"/>
    <col min="3089" max="3330" width="9" style="2961"/>
    <col min="3331" max="3331" width="45.88671875" style="2961" customWidth="1"/>
    <col min="3332" max="3332" width="6.21875" style="2961" customWidth="1"/>
    <col min="3333" max="3335" width="13.88671875" style="2961" customWidth="1"/>
    <col min="3336" max="3336" width="16.21875" style="2961" customWidth="1"/>
    <col min="3337" max="3337" width="7.88671875" style="2961" customWidth="1"/>
    <col min="3338" max="3338" width="9" style="2961" customWidth="1"/>
    <col min="3339" max="3340" width="10.6640625" style="2961" customWidth="1"/>
    <col min="3341" max="3341" width="14.33203125" style="2961" customWidth="1"/>
    <col min="3342" max="3342" width="6.21875" style="2961" customWidth="1"/>
    <col min="3343" max="3343" width="38.77734375" style="2961" customWidth="1"/>
    <col min="3344" max="3344" width="7.88671875" style="2961" customWidth="1"/>
    <col min="3345" max="3586" width="9" style="2961"/>
    <col min="3587" max="3587" width="45.88671875" style="2961" customWidth="1"/>
    <col min="3588" max="3588" width="6.21875" style="2961" customWidth="1"/>
    <col min="3589" max="3591" width="13.88671875" style="2961" customWidth="1"/>
    <col min="3592" max="3592" width="16.21875" style="2961" customWidth="1"/>
    <col min="3593" max="3593" width="7.88671875" style="2961" customWidth="1"/>
    <col min="3594" max="3594" width="9" style="2961" customWidth="1"/>
    <col min="3595" max="3596" width="10.6640625" style="2961" customWidth="1"/>
    <col min="3597" max="3597" width="14.33203125" style="2961" customWidth="1"/>
    <col min="3598" max="3598" width="6.21875" style="2961" customWidth="1"/>
    <col min="3599" max="3599" width="38.77734375" style="2961" customWidth="1"/>
    <col min="3600" max="3600" width="7.88671875" style="2961" customWidth="1"/>
    <col min="3601" max="3842" width="9" style="2961"/>
    <col min="3843" max="3843" width="45.88671875" style="2961" customWidth="1"/>
    <col min="3844" max="3844" width="6.21875" style="2961" customWidth="1"/>
    <col min="3845" max="3847" width="13.88671875" style="2961" customWidth="1"/>
    <col min="3848" max="3848" width="16.21875" style="2961" customWidth="1"/>
    <col min="3849" max="3849" width="7.88671875" style="2961" customWidth="1"/>
    <col min="3850" max="3850" width="9" style="2961" customWidth="1"/>
    <col min="3851" max="3852" width="10.6640625" style="2961" customWidth="1"/>
    <col min="3853" max="3853" width="14.33203125" style="2961" customWidth="1"/>
    <col min="3854" max="3854" width="6.21875" style="2961" customWidth="1"/>
    <col min="3855" max="3855" width="38.77734375" style="2961" customWidth="1"/>
    <col min="3856" max="3856" width="7.88671875" style="2961" customWidth="1"/>
    <col min="3857" max="4098" width="9" style="2961"/>
    <col min="4099" max="4099" width="45.88671875" style="2961" customWidth="1"/>
    <col min="4100" max="4100" width="6.21875" style="2961" customWidth="1"/>
    <col min="4101" max="4103" width="13.88671875" style="2961" customWidth="1"/>
    <col min="4104" max="4104" width="16.21875" style="2961" customWidth="1"/>
    <col min="4105" max="4105" width="7.88671875" style="2961" customWidth="1"/>
    <col min="4106" max="4106" width="9" style="2961" customWidth="1"/>
    <col min="4107" max="4108" width="10.6640625" style="2961" customWidth="1"/>
    <col min="4109" max="4109" width="14.33203125" style="2961" customWidth="1"/>
    <col min="4110" max="4110" width="6.21875" style="2961" customWidth="1"/>
    <col min="4111" max="4111" width="38.77734375" style="2961" customWidth="1"/>
    <col min="4112" max="4112" width="7.88671875" style="2961" customWidth="1"/>
    <col min="4113" max="4354" width="9" style="2961"/>
    <col min="4355" max="4355" width="45.88671875" style="2961" customWidth="1"/>
    <col min="4356" max="4356" width="6.21875" style="2961" customWidth="1"/>
    <col min="4357" max="4359" width="13.88671875" style="2961" customWidth="1"/>
    <col min="4360" max="4360" width="16.21875" style="2961" customWidth="1"/>
    <col min="4361" max="4361" width="7.88671875" style="2961" customWidth="1"/>
    <col min="4362" max="4362" width="9" style="2961" customWidth="1"/>
    <col min="4363" max="4364" width="10.6640625" style="2961" customWidth="1"/>
    <col min="4365" max="4365" width="14.33203125" style="2961" customWidth="1"/>
    <col min="4366" max="4366" width="6.21875" style="2961" customWidth="1"/>
    <col min="4367" max="4367" width="38.77734375" style="2961" customWidth="1"/>
    <col min="4368" max="4368" width="7.88671875" style="2961" customWidth="1"/>
    <col min="4369" max="4610" width="9" style="2961"/>
    <col min="4611" max="4611" width="45.88671875" style="2961" customWidth="1"/>
    <col min="4612" max="4612" width="6.21875" style="2961" customWidth="1"/>
    <col min="4613" max="4615" width="13.88671875" style="2961" customWidth="1"/>
    <col min="4616" max="4616" width="16.21875" style="2961" customWidth="1"/>
    <col min="4617" max="4617" width="7.88671875" style="2961" customWidth="1"/>
    <col min="4618" max="4618" width="9" style="2961" customWidth="1"/>
    <col min="4619" max="4620" width="10.6640625" style="2961" customWidth="1"/>
    <col min="4621" max="4621" width="14.33203125" style="2961" customWidth="1"/>
    <col min="4622" max="4622" width="6.21875" style="2961" customWidth="1"/>
    <col min="4623" max="4623" width="38.77734375" style="2961" customWidth="1"/>
    <col min="4624" max="4624" width="7.88671875" style="2961" customWidth="1"/>
    <col min="4625" max="4866" width="9" style="2961"/>
    <col min="4867" max="4867" width="45.88671875" style="2961" customWidth="1"/>
    <col min="4868" max="4868" width="6.21875" style="2961" customWidth="1"/>
    <col min="4869" max="4871" width="13.88671875" style="2961" customWidth="1"/>
    <col min="4872" max="4872" width="16.21875" style="2961" customWidth="1"/>
    <col min="4873" max="4873" width="7.88671875" style="2961" customWidth="1"/>
    <col min="4874" max="4874" width="9" style="2961" customWidth="1"/>
    <col min="4875" max="4876" width="10.6640625" style="2961" customWidth="1"/>
    <col min="4877" max="4877" width="14.33203125" style="2961" customWidth="1"/>
    <col min="4878" max="4878" width="6.21875" style="2961" customWidth="1"/>
    <col min="4879" max="4879" width="38.77734375" style="2961" customWidth="1"/>
    <col min="4880" max="4880" width="7.88671875" style="2961" customWidth="1"/>
    <col min="4881" max="5122" width="9" style="2961"/>
    <col min="5123" max="5123" width="45.88671875" style="2961" customWidth="1"/>
    <col min="5124" max="5124" width="6.21875" style="2961" customWidth="1"/>
    <col min="5125" max="5127" width="13.88671875" style="2961" customWidth="1"/>
    <col min="5128" max="5128" width="16.21875" style="2961" customWidth="1"/>
    <col min="5129" max="5129" width="7.88671875" style="2961" customWidth="1"/>
    <col min="5130" max="5130" width="9" style="2961" customWidth="1"/>
    <col min="5131" max="5132" width="10.6640625" style="2961" customWidth="1"/>
    <col min="5133" max="5133" width="14.33203125" style="2961" customWidth="1"/>
    <col min="5134" max="5134" width="6.21875" style="2961" customWidth="1"/>
    <col min="5135" max="5135" width="38.77734375" style="2961" customWidth="1"/>
    <col min="5136" max="5136" width="7.88671875" style="2961" customWidth="1"/>
    <col min="5137" max="5378" width="9" style="2961"/>
    <col min="5379" max="5379" width="45.88671875" style="2961" customWidth="1"/>
    <col min="5380" max="5380" width="6.21875" style="2961" customWidth="1"/>
    <col min="5381" max="5383" width="13.88671875" style="2961" customWidth="1"/>
    <col min="5384" max="5384" width="16.21875" style="2961" customWidth="1"/>
    <col min="5385" max="5385" width="7.88671875" style="2961" customWidth="1"/>
    <col min="5386" max="5386" width="9" style="2961" customWidth="1"/>
    <col min="5387" max="5388" width="10.6640625" style="2961" customWidth="1"/>
    <col min="5389" max="5389" width="14.33203125" style="2961" customWidth="1"/>
    <col min="5390" max="5390" width="6.21875" style="2961" customWidth="1"/>
    <col min="5391" max="5391" width="38.77734375" style="2961" customWidth="1"/>
    <col min="5392" max="5392" width="7.88671875" style="2961" customWidth="1"/>
    <col min="5393" max="5634" width="9" style="2961"/>
    <col min="5635" max="5635" width="45.88671875" style="2961" customWidth="1"/>
    <col min="5636" max="5636" width="6.21875" style="2961" customWidth="1"/>
    <col min="5637" max="5639" width="13.88671875" style="2961" customWidth="1"/>
    <col min="5640" max="5640" width="16.21875" style="2961" customWidth="1"/>
    <col min="5641" max="5641" width="7.88671875" style="2961" customWidth="1"/>
    <col min="5642" max="5642" width="9" style="2961" customWidth="1"/>
    <col min="5643" max="5644" width="10.6640625" style="2961" customWidth="1"/>
    <col min="5645" max="5645" width="14.33203125" style="2961" customWidth="1"/>
    <col min="5646" max="5646" width="6.21875" style="2961" customWidth="1"/>
    <col min="5647" max="5647" width="38.77734375" style="2961" customWidth="1"/>
    <col min="5648" max="5648" width="7.88671875" style="2961" customWidth="1"/>
    <col min="5649" max="5890" width="9" style="2961"/>
    <col min="5891" max="5891" width="45.88671875" style="2961" customWidth="1"/>
    <col min="5892" max="5892" width="6.21875" style="2961" customWidth="1"/>
    <col min="5893" max="5895" width="13.88671875" style="2961" customWidth="1"/>
    <col min="5896" max="5896" width="16.21875" style="2961" customWidth="1"/>
    <col min="5897" max="5897" width="7.88671875" style="2961" customWidth="1"/>
    <col min="5898" max="5898" width="9" style="2961" customWidth="1"/>
    <col min="5899" max="5900" width="10.6640625" style="2961" customWidth="1"/>
    <col min="5901" max="5901" width="14.33203125" style="2961" customWidth="1"/>
    <col min="5902" max="5902" width="6.21875" style="2961" customWidth="1"/>
    <col min="5903" max="5903" width="38.77734375" style="2961" customWidth="1"/>
    <col min="5904" max="5904" width="7.88671875" style="2961" customWidth="1"/>
    <col min="5905" max="6146" width="9" style="2961"/>
    <col min="6147" max="6147" width="45.88671875" style="2961" customWidth="1"/>
    <col min="6148" max="6148" width="6.21875" style="2961" customWidth="1"/>
    <col min="6149" max="6151" width="13.88671875" style="2961" customWidth="1"/>
    <col min="6152" max="6152" width="16.21875" style="2961" customWidth="1"/>
    <col min="6153" max="6153" width="7.88671875" style="2961" customWidth="1"/>
    <col min="6154" max="6154" width="9" style="2961" customWidth="1"/>
    <col min="6155" max="6156" width="10.6640625" style="2961" customWidth="1"/>
    <col min="6157" max="6157" width="14.33203125" style="2961" customWidth="1"/>
    <col min="6158" max="6158" width="6.21875" style="2961" customWidth="1"/>
    <col min="6159" max="6159" width="38.77734375" style="2961" customWidth="1"/>
    <col min="6160" max="6160" width="7.88671875" style="2961" customWidth="1"/>
    <col min="6161" max="6402" width="9" style="2961"/>
    <col min="6403" max="6403" width="45.88671875" style="2961" customWidth="1"/>
    <col min="6404" max="6404" width="6.21875" style="2961" customWidth="1"/>
    <col min="6405" max="6407" width="13.88671875" style="2961" customWidth="1"/>
    <col min="6408" max="6408" width="16.21875" style="2961" customWidth="1"/>
    <col min="6409" max="6409" width="7.88671875" style="2961" customWidth="1"/>
    <col min="6410" max="6410" width="9" style="2961" customWidth="1"/>
    <col min="6411" max="6412" width="10.6640625" style="2961" customWidth="1"/>
    <col min="6413" max="6413" width="14.33203125" style="2961" customWidth="1"/>
    <col min="6414" max="6414" width="6.21875" style="2961" customWidth="1"/>
    <col min="6415" max="6415" width="38.77734375" style="2961" customWidth="1"/>
    <col min="6416" max="6416" width="7.88671875" style="2961" customWidth="1"/>
    <col min="6417" max="6658" width="9" style="2961"/>
    <col min="6659" max="6659" width="45.88671875" style="2961" customWidth="1"/>
    <col min="6660" max="6660" width="6.21875" style="2961" customWidth="1"/>
    <col min="6661" max="6663" width="13.88671875" style="2961" customWidth="1"/>
    <col min="6664" max="6664" width="16.21875" style="2961" customWidth="1"/>
    <col min="6665" max="6665" width="7.88671875" style="2961" customWidth="1"/>
    <col min="6666" max="6666" width="9" style="2961" customWidth="1"/>
    <col min="6667" max="6668" width="10.6640625" style="2961" customWidth="1"/>
    <col min="6669" max="6669" width="14.33203125" style="2961" customWidth="1"/>
    <col min="6670" max="6670" width="6.21875" style="2961" customWidth="1"/>
    <col min="6671" max="6671" width="38.77734375" style="2961" customWidth="1"/>
    <col min="6672" max="6672" width="7.88671875" style="2961" customWidth="1"/>
    <col min="6673" max="6914" width="9" style="2961"/>
    <col min="6915" max="6915" width="45.88671875" style="2961" customWidth="1"/>
    <col min="6916" max="6916" width="6.21875" style="2961" customWidth="1"/>
    <col min="6917" max="6919" width="13.88671875" style="2961" customWidth="1"/>
    <col min="6920" max="6920" width="16.21875" style="2961" customWidth="1"/>
    <col min="6921" max="6921" width="7.88671875" style="2961" customWidth="1"/>
    <col min="6922" max="6922" width="9" style="2961" customWidth="1"/>
    <col min="6923" max="6924" width="10.6640625" style="2961" customWidth="1"/>
    <col min="6925" max="6925" width="14.33203125" style="2961" customWidth="1"/>
    <col min="6926" max="6926" width="6.21875" style="2961" customWidth="1"/>
    <col min="6927" max="6927" width="38.77734375" style="2961" customWidth="1"/>
    <col min="6928" max="6928" width="7.88671875" style="2961" customWidth="1"/>
    <col min="6929" max="7170" width="9" style="2961"/>
    <col min="7171" max="7171" width="45.88671875" style="2961" customWidth="1"/>
    <col min="7172" max="7172" width="6.21875" style="2961" customWidth="1"/>
    <col min="7173" max="7175" width="13.88671875" style="2961" customWidth="1"/>
    <col min="7176" max="7176" width="16.21875" style="2961" customWidth="1"/>
    <col min="7177" max="7177" width="7.88671875" style="2961" customWidth="1"/>
    <col min="7178" max="7178" width="9" style="2961" customWidth="1"/>
    <col min="7179" max="7180" width="10.6640625" style="2961" customWidth="1"/>
    <col min="7181" max="7181" width="14.33203125" style="2961" customWidth="1"/>
    <col min="7182" max="7182" width="6.21875" style="2961" customWidth="1"/>
    <col min="7183" max="7183" width="38.77734375" style="2961" customWidth="1"/>
    <col min="7184" max="7184" width="7.88671875" style="2961" customWidth="1"/>
    <col min="7185" max="7426" width="9" style="2961"/>
    <col min="7427" max="7427" width="45.88671875" style="2961" customWidth="1"/>
    <col min="7428" max="7428" width="6.21875" style="2961" customWidth="1"/>
    <col min="7429" max="7431" width="13.88671875" style="2961" customWidth="1"/>
    <col min="7432" max="7432" width="16.21875" style="2961" customWidth="1"/>
    <col min="7433" max="7433" width="7.88671875" style="2961" customWidth="1"/>
    <col min="7434" max="7434" width="9" style="2961" customWidth="1"/>
    <col min="7435" max="7436" width="10.6640625" style="2961" customWidth="1"/>
    <col min="7437" max="7437" width="14.33203125" style="2961" customWidth="1"/>
    <col min="7438" max="7438" width="6.21875" style="2961" customWidth="1"/>
    <col min="7439" max="7439" width="38.77734375" style="2961" customWidth="1"/>
    <col min="7440" max="7440" width="7.88671875" style="2961" customWidth="1"/>
    <col min="7441" max="7682" width="9" style="2961"/>
    <col min="7683" max="7683" width="45.88671875" style="2961" customWidth="1"/>
    <col min="7684" max="7684" width="6.21875" style="2961" customWidth="1"/>
    <col min="7685" max="7687" width="13.88671875" style="2961" customWidth="1"/>
    <col min="7688" max="7688" width="16.21875" style="2961" customWidth="1"/>
    <col min="7689" max="7689" width="7.88671875" style="2961" customWidth="1"/>
    <col min="7690" max="7690" width="9" style="2961" customWidth="1"/>
    <col min="7691" max="7692" width="10.6640625" style="2961" customWidth="1"/>
    <col min="7693" max="7693" width="14.33203125" style="2961" customWidth="1"/>
    <col min="7694" max="7694" width="6.21875" style="2961" customWidth="1"/>
    <col min="7695" max="7695" width="38.77734375" style="2961" customWidth="1"/>
    <col min="7696" max="7696" width="7.88671875" style="2961" customWidth="1"/>
    <col min="7697" max="7938" width="9" style="2961"/>
    <col min="7939" max="7939" width="45.88671875" style="2961" customWidth="1"/>
    <col min="7940" max="7940" width="6.21875" style="2961" customWidth="1"/>
    <col min="7941" max="7943" width="13.88671875" style="2961" customWidth="1"/>
    <col min="7944" max="7944" width="16.21875" style="2961" customWidth="1"/>
    <col min="7945" max="7945" width="7.88671875" style="2961" customWidth="1"/>
    <col min="7946" max="7946" width="9" style="2961" customWidth="1"/>
    <col min="7947" max="7948" width="10.6640625" style="2961" customWidth="1"/>
    <col min="7949" max="7949" width="14.33203125" style="2961" customWidth="1"/>
    <col min="7950" max="7950" width="6.21875" style="2961" customWidth="1"/>
    <col min="7951" max="7951" width="38.77734375" style="2961" customWidth="1"/>
    <col min="7952" max="7952" width="7.88671875" style="2961" customWidth="1"/>
    <col min="7953" max="8194" width="9" style="2961"/>
    <col min="8195" max="8195" width="45.88671875" style="2961" customWidth="1"/>
    <col min="8196" max="8196" width="6.21875" style="2961" customWidth="1"/>
    <col min="8197" max="8199" width="13.88671875" style="2961" customWidth="1"/>
    <col min="8200" max="8200" width="16.21875" style="2961" customWidth="1"/>
    <col min="8201" max="8201" width="7.88671875" style="2961" customWidth="1"/>
    <col min="8202" max="8202" width="9" style="2961" customWidth="1"/>
    <col min="8203" max="8204" width="10.6640625" style="2961" customWidth="1"/>
    <col min="8205" max="8205" width="14.33203125" style="2961" customWidth="1"/>
    <col min="8206" max="8206" width="6.21875" style="2961" customWidth="1"/>
    <col min="8207" max="8207" width="38.77734375" style="2961" customWidth="1"/>
    <col min="8208" max="8208" width="7.88671875" style="2961" customWidth="1"/>
    <col min="8209" max="8450" width="9" style="2961"/>
    <col min="8451" max="8451" width="45.88671875" style="2961" customWidth="1"/>
    <col min="8452" max="8452" width="6.21875" style="2961" customWidth="1"/>
    <col min="8453" max="8455" width="13.88671875" style="2961" customWidth="1"/>
    <col min="8456" max="8456" width="16.21875" style="2961" customWidth="1"/>
    <col min="8457" max="8457" width="7.88671875" style="2961" customWidth="1"/>
    <col min="8458" max="8458" width="9" style="2961" customWidth="1"/>
    <col min="8459" max="8460" width="10.6640625" style="2961" customWidth="1"/>
    <col min="8461" max="8461" width="14.33203125" style="2961" customWidth="1"/>
    <col min="8462" max="8462" width="6.21875" style="2961" customWidth="1"/>
    <col min="8463" max="8463" width="38.77734375" style="2961" customWidth="1"/>
    <col min="8464" max="8464" width="7.88671875" style="2961" customWidth="1"/>
    <col min="8465" max="8706" width="9" style="2961"/>
    <col min="8707" max="8707" width="45.88671875" style="2961" customWidth="1"/>
    <col min="8708" max="8708" width="6.21875" style="2961" customWidth="1"/>
    <col min="8709" max="8711" width="13.88671875" style="2961" customWidth="1"/>
    <col min="8712" max="8712" width="16.21875" style="2961" customWidth="1"/>
    <col min="8713" max="8713" width="7.88671875" style="2961" customWidth="1"/>
    <col min="8714" max="8714" width="9" style="2961" customWidth="1"/>
    <col min="8715" max="8716" width="10.6640625" style="2961" customWidth="1"/>
    <col min="8717" max="8717" width="14.33203125" style="2961" customWidth="1"/>
    <col min="8718" max="8718" width="6.21875" style="2961" customWidth="1"/>
    <col min="8719" max="8719" width="38.77734375" style="2961" customWidth="1"/>
    <col min="8720" max="8720" width="7.88671875" style="2961" customWidth="1"/>
    <col min="8721" max="8962" width="9" style="2961"/>
    <col min="8963" max="8963" width="45.88671875" style="2961" customWidth="1"/>
    <col min="8964" max="8964" width="6.21875" style="2961" customWidth="1"/>
    <col min="8965" max="8967" width="13.88671875" style="2961" customWidth="1"/>
    <col min="8968" max="8968" width="16.21875" style="2961" customWidth="1"/>
    <col min="8969" max="8969" width="7.88671875" style="2961" customWidth="1"/>
    <col min="8970" max="8970" width="9" style="2961" customWidth="1"/>
    <col min="8971" max="8972" width="10.6640625" style="2961" customWidth="1"/>
    <col min="8973" max="8973" width="14.33203125" style="2961" customWidth="1"/>
    <col min="8974" max="8974" width="6.21875" style="2961" customWidth="1"/>
    <col min="8975" max="8975" width="38.77734375" style="2961" customWidth="1"/>
    <col min="8976" max="8976" width="7.88671875" style="2961" customWidth="1"/>
    <col min="8977" max="9218" width="9" style="2961"/>
    <col min="9219" max="9219" width="45.88671875" style="2961" customWidth="1"/>
    <col min="9220" max="9220" width="6.21875" style="2961" customWidth="1"/>
    <col min="9221" max="9223" width="13.88671875" style="2961" customWidth="1"/>
    <col min="9224" max="9224" width="16.21875" style="2961" customWidth="1"/>
    <col min="9225" max="9225" width="7.88671875" style="2961" customWidth="1"/>
    <col min="9226" max="9226" width="9" style="2961" customWidth="1"/>
    <col min="9227" max="9228" width="10.6640625" style="2961" customWidth="1"/>
    <col min="9229" max="9229" width="14.33203125" style="2961" customWidth="1"/>
    <col min="9230" max="9230" width="6.21875" style="2961" customWidth="1"/>
    <col min="9231" max="9231" width="38.77734375" style="2961" customWidth="1"/>
    <col min="9232" max="9232" width="7.88671875" style="2961" customWidth="1"/>
    <col min="9233" max="9474" width="9" style="2961"/>
    <col min="9475" max="9475" width="45.88671875" style="2961" customWidth="1"/>
    <col min="9476" max="9476" width="6.21875" style="2961" customWidth="1"/>
    <col min="9477" max="9479" width="13.88671875" style="2961" customWidth="1"/>
    <col min="9480" max="9480" width="16.21875" style="2961" customWidth="1"/>
    <col min="9481" max="9481" width="7.88671875" style="2961" customWidth="1"/>
    <col min="9482" max="9482" width="9" style="2961" customWidth="1"/>
    <col min="9483" max="9484" width="10.6640625" style="2961" customWidth="1"/>
    <col min="9485" max="9485" width="14.33203125" style="2961" customWidth="1"/>
    <col min="9486" max="9486" width="6.21875" style="2961" customWidth="1"/>
    <col min="9487" max="9487" width="38.77734375" style="2961" customWidth="1"/>
    <col min="9488" max="9488" width="7.88671875" style="2961" customWidth="1"/>
    <col min="9489" max="9730" width="9" style="2961"/>
    <col min="9731" max="9731" width="45.88671875" style="2961" customWidth="1"/>
    <col min="9732" max="9732" width="6.21875" style="2961" customWidth="1"/>
    <col min="9733" max="9735" width="13.88671875" style="2961" customWidth="1"/>
    <col min="9736" max="9736" width="16.21875" style="2961" customWidth="1"/>
    <col min="9737" max="9737" width="7.88671875" style="2961" customWidth="1"/>
    <col min="9738" max="9738" width="9" style="2961" customWidth="1"/>
    <col min="9739" max="9740" width="10.6640625" style="2961" customWidth="1"/>
    <col min="9741" max="9741" width="14.33203125" style="2961" customWidth="1"/>
    <col min="9742" max="9742" width="6.21875" style="2961" customWidth="1"/>
    <col min="9743" max="9743" width="38.77734375" style="2961" customWidth="1"/>
    <col min="9744" max="9744" width="7.88671875" style="2961" customWidth="1"/>
    <col min="9745" max="9986" width="9" style="2961"/>
    <col min="9987" max="9987" width="45.88671875" style="2961" customWidth="1"/>
    <col min="9988" max="9988" width="6.21875" style="2961" customWidth="1"/>
    <col min="9989" max="9991" width="13.88671875" style="2961" customWidth="1"/>
    <col min="9992" max="9992" width="16.21875" style="2961" customWidth="1"/>
    <col min="9993" max="9993" width="7.88671875" style="2961" customWidth="1"/>
    <col min="9994" max="9994" width="9" style="2961" customWidth="1"/>
    <col min="9995" max="9996" width="10.6640625" style="2961" customWidth="1"/>
    <col min="9997" max="9997" width="14.33203125" style="2961" customWidth="1"/>
    <col min="9998" max="9998" width="6.21875" style="2961" customWidth="1"/>
    <col min="9999" max="9999" width="38.77734375" style="2961" customWidth="1"/>
    <col min="10000" max="10000" width="7.88671875" style="2961" customWidth="1"/>
    <col min="10001" max="10242" width="9" style="2961"/>
    <col min="10243" max="10243" width="45.88671875" style="2961" customWidth="1"/>
    <col min="10244" max="10244" width="6.21875" style="2961" customWidth="1"/>
    <col min="10245" max="10247" width="13.88671875" style="2961" customWidth="1"/>
    <col min="10248" max="10248" width="16.21875" style="2961" customWidth="1"/>
    <col min="10249" max="10249" width="7.88671875" style="2961" customWidth="1"/>
    <col min="10250" max="10250" width="9" style="2961" customWidth="1"/>
    <col min="10251" max="10252" width="10.6640625" style="2961" customWidth="1"/>
    <col min="10253" max="10253" width="14.33203125" style="2961" customWidth="1"/>
    <col min="10254" max="10254" width="6.21875" style="2961" customWidth="1"/>
    <col min="10255" max="10255" width="38.77734375" style="2961" customWidth="1"/>
    <col min="10256" max="10256" width="7.88671875" style="2961" customWidth="1"/>
    <col min="10257" max="10498" width="9" style="2961"/>
    <col min="10499" max="10499" width="45.88671875" style="2961" customWidth="1"/>
    <col min="10500" max="10500" width="6.21875" style="2961" customWidth="1"/>
    <col min="10501" max="10503" width="13.88671875" style="2961" customWidth="1"/>
    <col min="10504" max="10504" width="16.21875" style="2961" customWidth="1"/>
    <col min="10505" max="10505" width="7.88671875" style="2961" customWidth="1"/>
    <col min="10506" max="10506" width="9" style="2961" customWidth="1"/>
    <col min="10507" max="10508" width="10.6640625" style="2961" customWidth="1"/>
    <col min="10509" max="10509" width="14.33203125" style="2961" customWidth="1"/>
    <col min="10510" max="10510" width="6.21875" style="2961" customWidth="1"/>
    <col min="10511" max="10511" width="38.77734375" style="2961" customWidth="1"/>
    <col min="10512" max="10512" width="7.88671875" style="2961" customWidth="1"/>
    <col min="10513" max="10754" width="9" style="2961"/>
    <col min="10755" max="10755" width="45.88671875" style="2961" customWidth="1"/>
    <col min="10756" max="10756" width="6.21875" style="2961" customWidth="1"/>
    <col min="10757" max="10759" width="13.88671875" style="2961" customWidth="1"/>
    <col min="10760" max="10760" width="16.21875" style="2961" customWidth="1"/>
    <col min="10761" max="10761" width="7.88671875" style="2961" customWidth="1"/>
    <col min="10762" max="10762" width="9" style="2961" customWidth="1"/>
    <col min="10763" max="10764" width="10.6640625" style="2961" customWidth="1"/>
    <col min="10765" max="10765" width="14.33203125" style="2961" customWidth="1"/>
    <col min="10766" max="10766" width="6.21875" style="2961" customWidth="1"/>
    <col min="10767" max="10767" width="38.77734375" style="2961" customWidth="1"/>
    <col min="10768" max="10768" width="7.88671875" style="2961" customWidth="1"/>
    <col min="10769" max="11010" width="9" style="2961"/>
    <col min="11011" max="11011" width="45.88671875" style="2961" customWidth="1"/>
    <col min="11012" max="11012" width="6.21875" style="2961" customWidth="1"/>
    <col min="11013" max="11015" width="13.88671875" style="2961" customWidth="1"/>
    <col min="11016" max="11016" width="16.21875" style="2961" customWidth="1"/>
    <col min="11017" max="11017" width="7.88671875" style="2961" customWidth="1"/>
    <col min="11018" max="11018" width="9" style="2961" customWidth="1"/>
    <col min="11019" max="11020" width="10.6640625" style="2961" customWidth="1"/>
    <col min="11021" max="11021" width="14.33203125" style="2961" customWidth="1"/>
    <col min="11022" max="11022" width="6.21875" style="2961" customWidth="1"/>
    <col min="11023" max="11023" width="38.77734375" style="2961" customWidth="1"/>
    <col min="11024" max="11024" width="7.88671875" style="2961" customWidth="1"/>
    <col min="11025" max="11266" width="9" style="2961"/>
    <col min="11267" max="11267" width="45.88671875" style="2961" customWidth="1"/>
    <col min="11268" max="11268" width="6.21875" style="2961" customWidth="1"/>
    <col min="11269" max="11271" width="13.88671875" style="2961" customWidth="1"/>
    <col min="11272" max="11272" width="16.21875" style="2961" customWidth="1"/>
    <col min="11273" max="11273" width="7.88671875" style="2961" customWidth="1"/>
    <col min="11274" max="11274" width="9" style="2961" customWidth="1"/>
    <col min="11275" max="11276" width="10.6640625" style="2961" customWidth="1"/>
    <col min="11277" max="11277" width="14.33203125" style="2961" customWidth="1"/>
    <col min="11278" max="11278" width="6.21875" style="2961" customWidth="1"/>
    <col min="11279" max="11279" width="38.77734375" style="2961" customWidth="1"/>
    <col min="11280" max="11280" width="7.88671875" style="2961" customWidth="1"/>
    <col min="11281" max="11522" width="9" style="2961"/>
    <col min="11523" max="11523" width="45.88671875" style="2961" customWidth="1"/>
    <col min="11524" max="11524" width="6.21875" style="2961" customWidth="1"/>
    <col min="11525" max="11527" width="13.88671875" style="2961" customWidth="1"/>
    <col min="11528" max="11528" width="16.21875" style="2961" customWidth="1"/>
    <col min="11529" max="11529" width="7.88671875" style="2961" customWidth="1"/>
    <col min="11530" max="11530" width="9" style="2961" customWidth="1"/>
    <col min="11531" max="11532" width="10.6640625" style="2961" customWidth="1"/>
    <col min="11533" max="11533" width="14.33203125" style="2961" customWidth="1"/>
    <col min="11534" max="11534" width="6.21875" style="2961" customWidth="1"/>
    <col min="11535" max="11535" width="38.77734375" style="2961" customWidth="1"/>
    <col min="11536" max="11536" width="7.88671875" style="2961" customWidth="1"/>
    <col min="11537" max="11778" width="9" style="2961"/>
    <col min="11779" max="11779" width="45.88671875" style="2961" customWidth="1"/>
    <col min="11780" max="11780" width="6.21875" style="2961" customWidth="1"/>
    <col min="11781" max="11783" width="13.88671875" style="2961" customWidth="1"/>
    <col min="11784" max="11784" width="16.21875" style="2961" customWidth="1"/>
    <col min="11785" max="11785" width="7.88671875" style="2961" customWidth="1"/>
    <col min="11786" max="11786" width="9" style="2961" customWidth="1"/>
    <col min="11787" max="11788" width="10.6640625" style="2961" customWidth="1"/>
    <col min="11789" max="11789" width="14.33203125" style="2961" customWidth="1"/>
    <col min="11790" max="11790" width="6.21875" style="2961" customWidth="1"/>
    <col min="11791" max="11791" width="38.77734375" style="2961" customWidth="1"/>
    <col min="11792" max="11792" width="7.88671875" style="2961" customWidth="1"/>
    <col min="11793" max="12034" width="9" style="2961"/>
    <col min="12035" max="12035" width="45.88671875" style="2961" customWidth="1"/>
    <col min="12036" max="12036" width="6.21875" style="2961" customWidth="1"/>
    <col min="12037" max="12039" width="13.88671875" style="2961" customWidth="1"/>
    <col min="12040" max="12040" width="16.21875" style="2961" customWidth="1"/>
    <col min="12041" max="12041" width="7.88671875" style="2961" customWidth="1"/>
    <col min="12042" max="12042" width="9" style="2961" customWidth="1"/>
    <col min="12043" max="12044" width="10.6640625" style="2961" customWidth="1"/>
    <col min="12045" max="12045" width="14.33203125" style="2961" customWidth="1"/>
    <col min="12046" max="12046" width="6.21875" style="2961" customWidth="1"/>
    <col min="12047" max="12047" width="38.77734375" style="2961" customWidth="1"/>
    <col min="12048" max="12048" width="7.88671875" style="2961" customWidth="1"/>
    <col min="12049" max="12290" width="9" style="2961"/>
    <col min="12291" max="12291" width="45.88671875" style="2961" customWidth="1"/>
    <col min="12292" max="12292" width="6.21875" style="2961" customWidth="1"/>
    <col min="12293" max="12295" width="13.88671875" style="2961" customWidth="1"/>
    <col min="12296" max="12296" width="16.21875" style="2961" customWidth="1"/>
    <col min="12297" max="12297" width="7.88671875" style="2961" customWidth="1"/>
    <col min="12298" max="12298" width="9" style="2961" customWidth="1"/>
    <col min="12299" max="12300" width="10.6640625" style="2961" customWidth="1"/>
    <col min="12301" max="12301" width="14.33203125" style="2961" customWidth="1"/>
    <col min="12302" max="12302" width="6.21875" style="2961" customWidth="1"/>
    <col min="12303" max="12303" width="38.77734375" style="2961" customWidth="1"/>
    <col min="12304" max="12304" width="7.88671875" style="2961" customWidth="1"/>
    <col min="12305" max="12546" width="9" style="2961"/>
    <col min="12547" max="12547" width="45.88671875" style="2961" customWidth="1"/>
    <col min="12548" max="12548" width="6.21875" style="2961" customWidth="1"/>
    <col min="12549" max="12551" width="13.88671875" style="2961" customWidth="1"/>
    <col min="12552" max="12552" width="16.21875" style="2961" customWidth="1"/>
    <col min="12553" max="12553" width="7.88671875" style="2961" customWidth="1"/>
    <col min="12554" max="12554" width="9" style="2961" customWidth="1"/>
    <col min="12555" max="12556" width="10.6640625" style="2961" customWidth="1"/>
    <col min="12557" max="12557" width="14.33203125" style="2961" customWidth="1"/>
    <col min="12558" max="12558" width="6.21875" style="2961" customWidth="1"/>
    <col min="12559" max="12559" width="38.77734375" style="2961" customWidth="1"/>
    <col min="12560" max="12560" width="7.88671875" style="2961" customWidth="1"/>
    <col min="12561" max="12802" width="9" style="2961"/>
    <col min="12803" max="12803" width="45.88671875" style="2961" customWidth="1"/>
    <col min="12804" max="12804" width="6.21875" style="2961" customWidth="1"/>
    <col min="12805" max="12807" width="13.88671875" style="2961" customWidth="1"/>
    <col min="12808" max="12808" width="16.21875" style="2961" customWidth="1"/>
    <col min="12809" max="12809" width="7.88671875" style="2961" customWidth="1"/>
    <col min="12810" max="12810" width="9" style="2961" customWidth="1"/>
    <col min="12811" max="12812" width="10.6640625" style="2961" customWidth="1"/>
    <col min="12813" max="12813" width="14.33203125" style="2961" customWidth="1"/>
    <col min="12814" max="12814" width="6.21875" style="2961" customWidth="1"/>
    <col min="12815" max="12815" width="38.77734375" style="2961" customWidth="1"/>
    <col min="12816" max="12816" width="7.88671875" style="2961" customWidth="1"/>
    <col min="12817" max="13058" width="9" style="2961"/>
    <col min="13059" max="13059" width="45.88671875" style="2961" customWidth="1"/>
    <col min="13060" max="13060" width="6.21875" style="2961" customWidth="1"/>
    <col min="13061" max="13063" width="13.88671875" style="2961" customWidth="1"/>
    <col min="13064" max="13064" width="16.21875" style="2961" customWidth="1"/>
    <col min="13065" max="13065" width="7.88671875" style="2961" customWidth="1"/>
    <col min="13066" max="13066" width="9" style="2961" customWidth="1"/>
    <col min="13067" max="13068" width="10.6640625" style="2961" customWidth="1"/>
    <col min="13069" max="13069" width="14.33203125" style="2961" customWidth="1"/>
    <col min="13070" max="13070" width="6.21875" style="2961" customWidth="1"/>
    <col min="13071" max="13071" width="38.77734375" style="2961" customWidth="1"/>
    <col min="13072" max="13072" width="7.88671875" style="2961" customWidth="1"/>
    <col min="13073" max="13314" width="9" style="2961"/>
    <col min="13315" max="13315" width="45.88671875" style="2961" customWidth="1"/>
    <col min="13316" max="13316" width="6.21875" style="2961" customWidth="1"/>
    <col min="13317" max="13319" width="13.88671875" style="2961" customWidth="1"/>
    <col min="13320" max="13320" width="16.21875" style="2961" customWidth="1"/>
    <col min="13321" max="13321" width="7.88671875" style="2961" customWidth="1"/>
    <col min="13322" max="13322" width="9" style="2961" customWidth="1"/>
    <col min="13323" max="13324" width="10.6640625" style="2961" customWidth="1"/>
    <col min="13325" max="13325" width="14.33203125" style="2961" customWidth="1"/>
    <col min="13326" max="13326" width="6.21875" style="2961" customWidth="1"/>
    <col min="13327" max="13327" width="38.77734375" style="2961" customWidth="1"/>
    <col min="13328" max="13328" width="7.88671875" style="2961" customWidth="1"/>
    <col min="13329" max="13570" width="9" style="2961"/>
    <col min="13571" max="13571" width="45.88671875" style="2961" customWidth="1"/>
    <col min="13572" max="13572" width="6.21875" style="2961" customWidth="1"/>
    <col min="13573" max="13575" width="13.88671875" style="2961" customWidth="1"/>
    <col min="13576" max="13576" width="16.21875" style="2961" customWidth="1"/>
    <col min="13577" max="13577" width="7.88671875" style="2961" customWidth="1"/>
    <col min="13578" max="13578" width="9" style="2961" customWidth="1"/>
    <col min="13579" max="13580" width="10.6640625" style="2961" customWidth="1"/>
    <col min="13581" max="13581" width="14.33203125" style="2961" customWidth="1"/>
    <col min="13582" max="13582" width="6.21875" style="2961" customWidth="1"/>
    <col min="13583" max="13583" width="38.77734375" style="2961" customWidth="1"/>
    <col min="13584" max="13584" width="7.88671875" style="2961" customWidth="1"/>
    <col min="13585" max="13826" width="9" style="2961"/>
    <col min="13827" max="13827" width="45.88671875" style="2961" customWidth="1"/>
    <col min="13828" max="13828" width="6.21875" style="2961" customWidth="1"/>
    <col min="13829" max="13831" width="13.88671875" style="2961" customWidth="1"/>
    <col min="13832" max="13832" width="16.21875" style="2961" customWidth="1"/>
    <col min="13833" max="13833" width="7.88671875" style="2961" customWidth="1"/>
    <col min="13834" max="13834" width="9" style="2961" customWidth="1"/>
    <col min="13835" max="13836" width="10.6640625" style="2961" customWidth="1"/>
    <col min="13837" max="13837" width="14.33203125" style="2961" customWidth="1"/>
    <col min="13838" max="13838" width="6.21875" style="2961" customWidth="1"/>
    <col min="13839" max="13839" width="38.77734375" style="2961" customWidth="1"/>
    <col min="13840" max="13840" width="7.88671875" style="2961" customWidth="1"/>
    <col min="13841" max="14082" width="9" style="2961"/>
    <col min="14083" max="14083" width="45.88671875" style="2961" customWidth="1"/>
    <col min="14084" max="14084" width="6.21875" style="2961" customWidth="1"/>
    <col min="14085" max="14087" width="13.88671875" style="2961" customWidth="1"/>
    <col min="14088" max="14088" width="16.21875" style="2961" customWidth="1"/>
    <col min="14089" max="14089" width="7.88671875" style="2961" customWidth="1"/>
    <col min="14090" max="14090" width="9" style="2961" customWidth="1"/>
    <col min="14091" max="14092" width="10.6640625" style="2961" customWidth="1"/>
    <col min="14093" max="14093" width="14.33203125" style="2961" customWidth="1"/>
    <col min="14094" max="14094" width="6.21875" style="2961" customWidth="1"/>
    <col min="14095" max="14095" width="38.77734375" style="2961" customWidth="1"/>
    <col min="14096" max="14096" width="7.88671875" style="2961" customWidth="1"/>
    <col min="14097" max="14338" width="9" style="2961"/>
    <col min="14339" max="14339" width="45.88671875" style="2961" customWidth="1"/>
    <col min="14340" max="14340" width="6.21875" style="2961" customWidth="1"/>
    <col min="14341" max="14343" width="13.88671875" style="2961" customWidth="1"/>
    <col min="14344" max="14344" width="16.21875" style="2961" customWidth="1"/>
    <col min="14345" max="14345" width="7.88671875" style="2961" customWidth="1"/>
    <col min="14346" max="14346" width="9" style="2961" customWidth="1"/>
    <col min="14347" max="14348" width="10.6640625" style="2961" customWidth="1"/>
    <col min="14349" max="14349" width="14.33203125" style="2961" customWidth="1"/>
    <col min="14350" max="14350" width="6.21875" style="2961" customWidth="1"/>
    <col min="14351" max="14351" width="38.77734375" style="2961" customWidth="1"/>
    <col min="14352" max="14352" width="7.88671875" style="2961" customWidth="1"/>
    <col min="14353" max="14594" width="9" style="2961"/>
    <col min="14595" max="14595" width="45.88671875" style="2961" customWidth="1"/>
    <col min="14596" max="14596" width="6.21875" style="2961" customWidth="1"/>
    <col min="14597" max="14599" width="13.88671875" style="2961" customWidth="1"/>
    <col min="14600" max="14600" width="16.21875" style="2961" customWidth="1"/>
    <col min="14601" max="14601" width="7.88671875" style="2961" customWidth="1"/>
    <col min="14602" max="14602" width="9" style="2961" customWidth="1"/>
    <col min="14603" max="14604" width="10.6640625" style="2961" customWidth="1"/>
    <col min="14605" max="14605" width="14.33203125" style="2961" customWidth="1"/>
    <col min="14606" max="14606" width="6.21875" style="2961" customWidth="1"/>
    <col min="14607" max="14607" width="38.77734375" style="2961" customWidth="1"/>
    <col min="14608" max="14608" width="7.88671875" style="2961" customWidth="1"/>
    <col min="14609" max="14850" width="9" style="2961"/>
    <col min="14851" max="14851" width="45.88671875" style="2961" customWidth="1"/>
    <col min="14852" max="14852" width="6.21875" style="2961" customWidth="1"/>
    <col min="14853" max="14855" width="13.88671875" style="2961" customWidth="1"/>
    <col min="14856" max="14856" width="16.21875" style="2961" customWidth="1"/>
    <col min="14857" max="14857" width="7.88671875" style="2961" customWidth="1"/>
    <col min="14858" max="14858" width="9" style="2961" customWidth="1"/>
    <col min="14859" max="14860" width="10.6640625" style="2961" customWidth="1"/>
    <col min="14861" max="14861" width="14.33203125" style="2961" customWidth="1"/>
    <col min="14862" max="14862" width="6.21875" style="2961" customWidth="1"/>
    <col min="14863" max="14863" width="38.77734375" style="2961" customWidth="1"/>
    <col min="14864" max="14864" width="7.88671875" style="2961" customWidth="1"/>
    <col min="14865" max="15106" width="9" style="2961"/>
    <col min="15107" max="15107" width="45.88671875" style="2961" customWidth="1"/>
    <col min="15108" max="15108" width="6.21875" style="2961" customWidth="1"/>
    <col min="15109" max="15111" width="13.88671875" style="2961" customWidth="1"/>
    <col min="15112" max="15112" width="16.21875" style="2961" customWidth="1"/>
    <col min="15113" max="15113" width="7.88671875" style="2961" customWidth="1"/>
    <col min="15114" max="15114" width="9" style="2961" customWidth="1"/>
    <col min="15115" max="15116" width="10.6640625" style="2961" customWidth="1"/>
    <col min="15117" max="15117" width="14.33203125" style="2961" customWidth="1"/>
    <col min="15118" max="15118" width="6.21875" style="2961" customWidth="1"/>
    <col min="15119" max="15119" width="38.77734375" style="2961" customWidth="1"/>
    <col min="15120" max="15120" width="7.88671875" style="2961" customWidth="1"/>
    <col min="15121" max="15362" width="9" style="2961"/>
    <col min="15363" max="15363" width="45.88671875" style="2961" customWidth="1"/>
    <col min="15364" max="15364" width="6.21875" style="2961" customWidth="1"/>
    <col min="15365" max="15367" width="13.88671875" style="2961" customWidth="1"/>
    <col min="15368" max="15368" width="16.21875" style="2961" customWidth="1"/>
    <col min="15369" max="15369" width="7.88671875" style="2961" customWidth="1"/>
    <col min="15370" max="15370" width="9" style="2961" customWidth="1"/>
    <col min="15371" max="15372" width="10.6640625" style="2961" customWidth="1"/>
    <col min="15373" max="15373" width="14.33203125" style="2961" customWidth="1"/>
    <col min="15374" max="15374" width="6.21875" style="2961" customWidth="1"/>
    <col min="15375" max="15375" width="38.77734375" style="2961" customWidth="1"/>
    <col min="15376" max="15376" width="7.88671875" style="2961" customWidth="1"/>
    <col min="15377" max="15618" width="9" style="2961"/>
    <col min="15619" max="15619" width="45.88671875" style="2961" customWidth="1"/>
    <col min="15620" max="15620" width="6.21875" style="2961" customWidth="1"/>
    <col min="15621" max="15623" width="13.88671875" style="2961" customWidth="1"/>
    <col min="15624" max="15624" width="16.21875" style="2961" customWidth="1"/>
    <col min="15625" max="15625" width="7.88671875" style="2961" customWidth="1"/>
    <col min="15626" max="15626" width="9" style="2961" customWidth="1"/>
    <col min="15627" max="15628" width="10.6640625" style="2961" customWidth="1"/>
    <col min="15629" max="15629" width="14.33203125" style="2961" customWidth="1"/>
    <col min="15630" max="15630" width="6.21875" style="2961" customWidth="1"/>
    <col min="15631" max="15631" width="38.77734375" style="2961" customWidth="1"/>
    <col min="15632" max="15632" width="7.88671875" style="2961" customWidth="1"/>
    <col min="15633" max="15874" width="9" style="2961"/>
    <col min="15875" max="15875" width="45.88671875" style="2961" customWidth="1"/>
    <col min="15876" max="15876" width="6.21875" style="2961" customWidth="1"/>
    <col min="15877" max="15879" width="13.88671875" style="2961" customWidth="1"/>
    <col min="15880" max="15880" width="16.21875" style="2961" customWidth="1"/>
    <col min="15881" max="15881" width="7.88671875" style="2961" customWidth="1"/>
    <col min="15882" max="15882" width="9" style="2961" customWidth="1"/>
    <col min="15883" max="15884" width="10.6640625" style="2961" customWidth="1"/>
    <col min="15885" max="15885" width="14.33203125" style="2961" customWidth="1"/>
    <col min="15886" max="15886" width="6.21875" style="2961" customWidth="1"/>
    <col min="15887" max="15887" width="38.77734375" style="2961" customWidth="1"/>
    <col min="15888" max="15888" width="7.88671875" style="2961" customWidth="1"/>
    <col min="15889" max="16130" width="9" style="2961"/>
    <col min="16131" max="16131" width="45.88671875" style="2961" customWidth="1"/>
    <col min="16132" max="16132" width="6.21875" style="2961" customWidth="1"/>
    <col min="16133" max="16135" width="13.88671875" style="2961" customWidth="1"/>
    <col min="16136" max="16136" width="16.21875" style="2961" customWidth="1"/>
    <col min="16137" max="16137" width="7.88671875" style="2961" customWidth="1"/>
    <col min="16138" max="16138" width="9" style="2961" customWidth="1"/>
    <col min="16139" max="16140" width="10.6640625" style="2961" customWidth="1"/>
    <col min="16141" max="16141" width="14.33203125" style="2961" customWidth="1"/>
    <col min="16142" max="16142" width="6.21875" style="2961" customWidth="1"/>
    <col min="16143" max="16143" width="38.77734375" style="2961" customWidth="1"/>
    <col min="16144" max="16144" width="7.88671875" style="2961" customWidth="1"/>
    <col min="16145" max="16384" width="9" style="2961"/>
  </cols>
  <sheetData>
    <row r="1" spans="1:16" s="2959" customFormat="1" ht="62.4">
      <c r="A1" s="2959" t="s">
        <v>3080</v>
      </c>
      <c r="B1" s="2959" t="s">
        <v>3081</v>
      </c>
      <c r="C1" s="2959" t="s">
        <v>3082</v>
      </c>
      <c r="D1" s="2959" t="s">
        <v>3083</v>
      </c>
      <c r="E1" s="2959" t="s">
        <v>3084</v>
      </c>
      <c r="F1" s="2959" t="s">
        <v>3085</v>
      </c>
      <c r="G1" s="2959" t="s">
        <v>3086</v>
      </c>
      <c r="H1" s="2959" t="s">
        <v>3087</v>
      </c>
      <c r="I1" s="2959" t="s">
        <v>3088</v>
      </c>
      <c r="J1" s="2959" t="s">
        <v>3089</v>
      </c>
      <c r="K1" s="2959" t="s">
        <v>3090</v>
      </c>
      <c r="L1" s="2959" t="s">
        <v>3091</v>
      </c>
      <c r="M1" s="2959" t="s">
        <v>3092</v>
      </c>
      <c r="N1" s="2960" t="s">
        <v>3093</v>
      </c>
      <c r="O1" s="2959" t="s">
        <v>3094</v>
      </c>
      <c r="P1" s="2959" t="s">
        <v>3095</v>
      </c>
    </row>
    <row r="2" spans="1:16" ht="28.8">
      <c r="A2" s="2961" t="s">
        <v>3096</v>
      </c>
      <c r="B2" s="2961" t="s">
        <v>3097</v>
      </c>
      <c r="C2" s="2961" t="s">
        <v>3098</v>
      </c>
      <c r="D2" s="2961">
        <v>66940.44</v>
      </c>
      <c r="E2" s="2961">
        <v>200821</v>
      </c>
      <c r="F2" s="2961" t="s">
        <v>3099</v>
      </c>
      <c r="G2" s="2961">
        <f>ROUND(E2/D2,2)</f>
        <v>3</v>
      </c>
      <c r="H2" s="2961" t="s">
        <v>3100</v>
      </c>
      <c r="I2" s="2961" t="s">
        <v>3101</v>
      </c>
      <c r="J2" s="2961">
        <v>48550</v>
      </c>
      <c r="K2" s="2961">
        <v>48550</v>
      </c>
      <c r="L2" s="2961">
        <v>2417.5700000000002</v>
      </c>
      <c r="M2" s="2961">
        <f>ROUND(J2/E2*10000,0)</f>
        <v>2418</v>
      </c>
      <c r="N2" s="2962">
        <v>0</v>
      </c>
      <c r="O2" s="2961" t="s">
        <v>3102</v>
      </c>
      <c r="P2" s="2961" t="s">
        <v>3103</v>
      </c>
    </row>
    <row r="3" spans="1:16" s="2963" customFormat="1" ht="28.8">
      <c r="A3" s="2963" t="s">
        <v>3104</v>
      </c>
      <c r="B3" s="2963" t="s">
        <v>3097</v>
      </c>
      <c r="C3" s="2963" t="s">
        <v>3105</v>
      </c>
      <c r="D3" s="2963">
        <v>171986.6</v>
      </c>
      <c r="E3" s="2963">
        <v>487022</v>
      </c>
      <c r="F3" s="2963" t="s">
        <v>3106</v>
      </c>
      <c r="G3" s="2963">
        <f>ROUND(E3/D3,2)</f>
        <v>2.83</v>
      </c>
      <c r="H3" s="2963" t="s">
        <v>3100</v>
      </c>
      <c r="I3" s="2963" t="s">
        <v>3101</v>
      </c>
      <c r="J3" s="2963">
        <v>250820</v>
      </c>
      <c r="K3" s="2963">
        <v>250820</v>
      </c>
      <c r="L3" s="2963">
        <v>5150</v>
      </c>
      <c r="M3" s="2963">
        <f t="shared" ref="M3:M31" si="0">ROUND(J3/E3*10000,0)</f>
        <v>5150</v>
      </c>
      <c r="N3" s="2964">
        <v>0</v>
      </c>
      <c r="O3" s="2963" t="s">
        <v>3107</v>
      </c>
      <c r="P3" s="2963" t="s">
        <v>3108</v>
      </c>
    </row>
    <row r="4" spans="1:16" s="2965" customFormat="1" ht="28.8">
      <c r="A4" s="2965" t="s">
        <v>3109</v>
      </c>
      <c r="B4" s="2965" t="s">
        <v>3097</v>
      </c>
      <c r="C4" s="2965" t="s">
        <v>3098</v>
      </c>
      <c r="D4" s="2965">
        <v>79696.23</v>
      </c>
      <c r="E4" s="2965">
        <v>280391</v>
      </c>
      <c r="F4" s="2965" t="s">
        <v>3110</v>
      </c>
      <c r="G4" s="2965">
        <f t="shared" ref="G4:G31" si="1">ROUND(E4/D4,2)</f>
        <v>3.52</v>
      </c>
      <c r="H4" s="2965" t="s">
        <v>3100</v>
      </c>
      <c r="I4" s="2965" t="s">
        <v>3111</v>
      </c>
      <c r="J4" s="2965">
        <v>91040</v>
      </c>
      <c r="K4" s="2965">
        <v>91040</v>
      </c>
      <c r="L4" s="2965">
        <v>3246.88</v>
      </c>
      <c r="M4" s="2961">
        <f t="shared" si="0"/>
        <v>3247</v>
      </c>
      <c r="N4" s="2966">
        <v>0</v>
      </c>
      <c r="O4" s="2965" t="s">
        <v>3112</v>
      </c>
      <c r="P4" s="2965" t="s">
        <v>3108</v>
      </c>
    </row>
    <row r="5" spans="1:16" s="2963" customFormat="1" ht="28.8">
      <c r="A5" s="2963" t="s">
        <v>3113</v>
      </c>
      <c r="B5" s="2963" t="s">
        <v>3097</v>
      </c>
      <c r="C5" s="2963" t="s">
        <v>3105</v>
      </c>
      <c r="D5" s="2963">
        <v>50450.66</v>
      </c>
      <c r="E5" s="2963">
        <v>151351</v>
      </c>
      <c r="F5" s="2963" t="s">
        <v>3114</v>
      </c>
      <c r="G5" s="2963">
        <f t="shared" si="1"/>
        <v>3</v>
      </c>
      <c r="H5" s="2963" t="s">
        <v>3100</v>
      </c>
      <c r="I5" s="2963" t="s">
        <v>3115</v>
      </c>
      <c r="J5" s="2963">
        <v>78710</v>
      </c>
      <c r="K5" s="2963">
        <v>78710</v>
      </c>
      <c r="L5" s="2963">
        <v>5200</v>
      </c>
      <c r="M5" s="2963">
        <f t="shared" si="0"/>
        <v>5200</v>
      </c>
      <c r="N5" s="2964">
        <v>0</v>
      </c>
      <c r="O5" s="2963" t="s">
        <v>3116</v>
      </c>
      <c r="P5" s="2963" t="s">
        <v>3108</v>
      </c>
    </row>
    <row r="6" spans="1:16" ht="28.8">
      <c r="A6" s="2961" t="s">
        <v>3117</v>
      </c>
      <c r="B6" s="2961" t="s">
        <v>3097</v>
      </c>
      <c r="C6" s="2961" t="s">
        <v>3105</v>
      </c>
      <c r="D6" s="2961">
        <v>72239.850000000006</v>
      </c>
      <c r="E6" s="2961">
        <v>216719</v>
      </c>
      <c r="F6" s="2961" t="s">
        <v>3114</v>
      </c>
      <c r="G6" s="2961">
        <f t="shared" si="1"/>
        <v>3</v>
      </c>
      <c r="H6" s="2961" t="s">
        <v>3100</v>
      </c>
      <c r="I6" s="2961" t="s">
        <v>3115</v>
      </c>
      <c r="J6" s="2961">
        <v>45900</v>
      </c>
      <c r="K6" s="2961">
        <v>46100</v>
      </c>
      <c r="L6" s="2961">
        <v>2127.17</v>
      </c>
      <c r="M6" s="2961">
        <f t="shared" si="0"/>
        <v>2118</v>
      </c>
      <c r="N6" s="2962">
        <v>0.44</v>
      </c>
      <c r="O6" s="2961" t="s">
        <v>3118</v>
      </c>
      <c r="P6" s="2961" t="s">
        <v>3108</v>
      </c>
    </row>
    <row r="7" spans="1:16" s="2963" customFormat="1" ht="28.8">
      <c r="A7" s="2963" t="s">
        <v>3119</v>
      </c>
      <c r="B7" s="2963" t="s">
        <v>3097</v>
      </c>
      <c r="C7" s="2963" t="s">
        <v>3105</v>
      </c>
      <c r="D7" s="2963">
        <v>47314.37</v>
      </c>
      <c r="E7" s="2963">
        <v>141943.1</v>
      </c>
      <c r="F7" s="2963" t="s">
        <v>3114</v>
      </c>
      <c r="G7" s="2963">
        <f t="shared" si="1"/>
        <v>3</v>
      </c>
      <c r="H7" s="2963" t="s">
        <v>3100</v>
      </c>
      <c r="I7" s="2963" t="s">
        <v>3120</v>
      </c>
      <c r="J7" s="2963">
        <v>73820</v>
      </c>
      <c r="K7" s="2963">
        <v>74320</v>
      </c>
      <c r="L7" s="2963">
        <v>5236</v>
      </c>
      <c r="M7" s="2963">
        <f t="shared" si="0"/>
        <v>5201</v>
      </c>
      <c r="N7" s="2964">
        <v>0.68</v>
      </c>
      <c r="O7" s="2963" t="s">
        <v>3121</v>
      </c>
      <c r="P7" s="2963" t="s">
        <v>3108</v>
      </c>
    </row>
    <row r="8" spans="1:16" ht="28.8">
      <c r="A8" s="2961" t="s">
        <v>3119</v>
      </c>
      <c r="B8" s="2961" t="s">
        <v>3097</v>
      </c>
      <c r="C8" s="2961" t="s">
        <v>3105</v>
      </c>
      <c r="D8" s="2961">
        <v>55480.68</v>
      </c>
      <c r="E8" s="2961">
        <v>155345.9</v>
      </c>
      <c r="F8" s="2961" t="s">
        <v>3122</v>
      </c>
      <c r="G8" s="2961">
        <f t="shared" si="1"/>
        <v>2.8</v>
      </c>
      <c r="H8" s="2961" t="s">
        <v>3100</v>
      </c>
      <c r="I8" s="2961" t="s">
        <v>3120</v>
      </c>
      <c r="J8" s="2961">
        <v>80780</v>
      </c>
      <c r="K8" s="2961">
        <v>80780</v>
      </c>
      <c r="L8" s="2961">
        <v>5200.01</v>
      </c>
      <c r="M8" s="2961">
        <f t="shared" si="0"/>
        <v>5200</v>
      </c>
      <c r="N8" s="2962">
        <v>0</v>
      </c>
      <c r="O8" s="2961" t="s">
        <v>3123</v>
      </c>
      <c r="P8" s="2961" t="s">
        <v>3108</v>
      </c>
    </row>
    <row r="9" spans="1:16" ht="28.8">
      <c r="A9" s="2961" t="s">
        <v>3124</v>
      </c>
      <c r="B9" s="2961" t="s">
        <v>3097</v>
      </c>
      <c r="C9" s="2961" t="s">
        <v>3098</v>
      </c>
      <c r="D9" s="2961">
        <v>128280</v>
      </c>
      <c r="E9" s="2961">
        <v>484130</v>
      </c>
      <c r="F9" s="2961" t="s">
        <v>3125</v>
      </c>
      <c r="G9" s="2961">
        <f t="shared" si="1"/>
        <v>3.77</v>
      </c>
      <c r="H9" s="2961" t="s">
        <v>3100</v>
      </c>
      <c r="I9" s="2961" t="s">
        <v>3126</v>
      </c>
      <c r="J9" s="2961">
        <v>315660</v>
      </c>
      <c r="K9" s="2961">
        <v>315660</v>
      </c>
      <c r="L9" s="2961">
        <v>6520.14</v>
      </c>
      <c r="M9" s="2961">
        <f t="shared" si="0"/>
        <v>6520</v>
      </c>
      <c r="N9" s="2962">
        <v>0</v>
      </c>
      <c r="O9" s="2961" t="s">
        <v>3127</v>
      </c>
      <c r="P9" s="2961" t="s">
        <v>3128</v>
      </c>
    </row>
    <row r="10" spans="1:16" ht="28.8">
      <c r="A10" s="2961" t="s">
        <v>3129</v>
      </c>
      <c r="B10" s="2961" t="s">
        <v>3097</v>
      </c>
      <c r="C10" s="2961" t="s">
        <v>3098</v>
      </c>
      <c r="D10" s="2961">
        <v>59430.94</v>
      </c>
      <c r="E10" s="2961">
        <v>171452</v>
      </c>
      <c r="F10" s="2961" t="s">
        <v>3130</v>
      </c>
      <c r="G10" s="2961">
        <f t="shared" si="1"/>
        <v>2.88</v>
      </c>
      <c r="H10" s="2961" t="s">
        <v>3100</v>
      </c>
      <c r="I10" s="2961" t="s">
        <v>3131</v>
      </c>
      <c r="J10" s="2961">
        <v>122150</v>
      </c>
      <c r="K10" s="2961">
        <v>122150</v>
      </c>
      <c r="L10" s="2961">
        <v>7124.43</v>
      </c>
      <c r="M10" s="2961">
        <f t="shared" si="0"/>
        <v>7124</v>
      </c>
      <c r="N10" s="2962">
        <v>0</v>
      </c>
      <c r="O10" s="2961" t="s">
        <v>3132</v>
      </c>
      <c r="P10" s="2961" t="s">
        <v>3128</v>
      </c>
    </row>
    <row r="11" spans="1:16" ht="28.8">
      <c r="A11" s="2961" t="s">
        <v>3133</v>
      </c>
      <c r="B11" s="2961" t="s">
        <v>3097</v>
      </c>
      <c r="C11" s="2961" t="s">
        <v>3098</v>
      </c>
      <c r="D11" s="2961">
        <v>66657</v>
      </c>
      <c r="E11" s="2961">
        <v>228790</v>
      </c>
      <c r="F11" s="2961" t="s">
        <v>3134</v>
      </c>
      <c r="G11" s="2961">
        <f t="shared" si="1"/>
        <v>3.43</v>
      </c>
      <c r="H11" s="2961" t="s">
        <v>3100</v>
      </c>
      <c r="I11" s="2961" t="s">
        <v>3131</v>
      </c>
      <c r="J11" s="2961">
        <v>139570</v>
      </c>
      <c r="K11" s="2961">
        <v>139570</v>
      </c>
      <c r="L11" s="2961">
        <v>6100.35</v>
      </c>
      <c r="M11" s="2961">
        <f t="shared" si="0"/>
        <v>6100</v>
      </c>
      <c r="N11" s="2962">
        <v>0</v>
      </c>
      <c r="O11" s="2961" t="s">
        <v>3135</v>
      </c>
      <c r="P11" s="2961" t="s">
        <v>3108</v>
      </c>
    </row>
    <row r="12" spans="1:16" ht="43.2">
      <c r="A12" s="2961" t="s">
        <v>3136</v>
      </c>
      <c r="B12" s="2961" t="s">
        <v>3097</v>
      </c>
      <c r="C12" s="2961" t="s">
        <v>3098</v>
      </c>
      <c r="D12" s="2961">
        <v>22312.080000000002</v>
      </c>
      <c r="E12" s="2961">
        <v>82038.399999999994</v>
      </c>
      <c r="F12" s="2961" t="s">
        <v>3137</v>
      </c>
      <c r="G12" s="2961">
        <f t="shared" si="1"/>
        <v>3.68</v>
      </c>
      <c r="H12" s="2961" t="s">
        <v>3100</v>
      </c>
      <c r="I12" s="2961" t="s">
        <v>3138</v>
      </c>
      <c r="J12" s="2961">
        <v>42050</v>
      </c>
      <c r="K12" s="2961">
        <v>42050</v>
      </c>
      <c r="L12" s="2961">
        <v>5125.6400000000003</v>
      </c>
      <c r="M12" s="2961">
        <f t="shared" si="0"/>
        <v>5126</v>
      </c>
      <c r="N12" s="2962">
        <v>0</v>
      </c>
      <c r="O12" s="2961" t="s">
        <v>3139</v>
      </c>
      <c r="P12" s="2961" t="s">
        <v>3128</v>
      </c>
    </row>
    <row r="13" spans="1:16" ht="28.8">
      <c r="A13" s="2961" t="s">
        <v>3140</v>
      </c>
      <c r="B13" s="2961" t="s">
        <v>3097</v>
      </c>
      <c r="C13" s="2961" t="s">
        <v>3105</v>
      </c>
      <c r="D13" s="2961">
        <v>42807.56</v>
      </c>
      <c r="E13" s="2961">
        <v>119861.2</v>
      </c>
      <c r="F13" s="2961" t="s">
        <v>3122</v>
      </c>
      <c r="G13" s="2961">
        <f t="shared" si="1"/>
        <v>2.8</v>
      </c>
      <c r="H13" s="2961" t="s">
        <v>3100</v>
      </c>
      <c r="I13" s="2961" t="s">
        <v>3138</v>
      </c>
      <c r="J13" s="2961">
        <v>75180</v>
      </c>
      <c r="K13" s="2961">
        <v>84180</v>
      </c>
      <c r="L13" s="2961">
        <v>7023.11</v>
      </c>
      <c r="M13" s="2961">
        <f t="shared" si="0"/>
        <v>6272</v>
      </c>
      <c r="N13" s="2962">
        <v>1.97</v>
      </c>
      <c r="O13" s="2961" t="s">
        <v>3141</v>
      </c>
      <c r="P13" s="2961" t="s">
        <v>3128</v>
      </c>
    </row>
    <row r="14" spans="1:16" ht="28.8">
      <c r="A14" s="2961" t="s">
        <v>3142</v>
      </c>
      <c r="B14" s="2961" t="s">
        <v>3097</v>
      </c>
      <c r="C14" s="2961" t="s">
        <v>3105</v>
      </c>
      <c r="D14" s="2961">
        <v>114473.9</v>
      </c>
      <c r="E14" s="2961">
        <v>171710.8</v>
      </c>
      <c r="F14" s="2961" t="s">
        <v>3143</v>
      </c>
      <c r="G14" s="2961">
        <f t="shared" si="1"/>
        <v>1.5</v>
      </c>
      <c r="H14" s="2961" t="s">
        <v>3100</v>
      </c>
      <c r="I14" s="2961" t="s">
        <v>3144</v>
      </c>
      <c r="J14" s="2961">
        <v>107200</v>
      </c>
      <c r="K14" s="2961">
        <v>107200</v>
      </c>
      <c r="L14" s="2961">
        <v>6243.06</v>
      </c>
      <c r="M14" s="2961">
        <f t="shared" si="0"/>
        <v>6243</v>
      </c>
      <c r="N14" s="2962">
        <v>0</v>
      </c>
      <c r="O14" s="2961" t="s">
        <v>3145</v>
      </c>
      <c r="P14" s="2961" t="s">
        <v>3103</v>
      </c>
    </row>
    <row r="15" spans="1:16" ht="28.8">
      <c r="A15" s="2961" t="s">
        <v>3146</v>
      </c>
      <c r="B15" s="2961" t="s">
        <v>3097</v>
      </c>
      <c r="C15" s="2961" t="s">
        <v>3105</v>
      </c>
      <c r="D15" s="2961">
        <v>45231.53</v>
      </c>
      <c r="E15" s="2961">
        <v>122125.1</v>
      </c>
      <c r="F15" s="2961" t="s">
        <v>3147</v>
      </c>
      <c r="G15" s="2961">
        <f t="shared" si="1"/>
        <v>2.7</v>
      </c>
      <c r="H15" s="2961" t="s">
        <v>3100</v>
      </c>
      <c r="I15" s="2961" t="s">
        <v>3148</v>
      </c>
      <c r="J15" s="2961">
        <v>78220</v>
      </c>
      <c r="K15" s="2961">
        <v>78720</v>
      </c>
      <c r="L15" s="2961">
        <v>6445.85</v>
      </c>
      <c r="M15" s="2961">
        <f t="shared" si="0"/>
        <v>6405</v>
      </c>
      <c r="N15" s="2962">
        <v>0.64</v>
      </c>
      <c r="O15" s="2961" t="s">
        <v>3149</v>
      </c>
      <c r="P15" s="2961" t="s">
        <v>3108</v>
      </c>
    </row>
    <row r="16" spans="1:16" ht="28.8">
      <c r="A16" s="2961" t="s">
        <v>3150</v>
      </c>
      <c r="B16" s="2961" t="s">
        <v>3097</v>
      </c>
      <c r="C16" s="2961" t="s">
        <v>3105</v>
      </c>
      <c r="D16" s="2961">
        <v>46061.01</v>
      </c>
      <c r="E16" s="2961">
        <v>124364.7</v>
      </c>
      <c r="F16" s="2961" t="s">
        <v>3147</v>
      </c>
      <c r="G16" s="2961">
        <f t="shared" si="1"/>
        <v>2.7</v>
      </c>
      <c r="H16" s="2961" t="s">
        <v>3100</v>
      </c>
      <c r="I16" s="2961" t="s">
        <v>3148</v>
      </c>
      <c r="J16" s="2961">
        <v>79650</v>
      </c>
      <c r="K16" s="2961">
        <v>80150</v>
      </c>
      <c r="L16" s="2961">
        <v>6444.75</v>
      </c>
      <c r="M16" s="2961">
        <f t="shared" si="0"/>
        <v>6405</v>
      </c>
      <c r="N16" s="2962">
        <v>0.63</v>
      </c>
      <c r="O16" s="2961" t="s">
        <v>3151</v>
      </c>
      <c r="P16" s="2961" t="s">
        <v>3108</v>
      </c>
    </row>
    <row r="17" spans="1:16" ht="28.8">
      <c r="A17" s="2961" t="s">
        <v>3152</v>
      </c>
      <c r="B17" s="2961" t="s">
        <v>3097</v>
      </c>
      <c r="C17" s="2961" t="s">
        <v>3098</v>
      </c>
      <c r="D17" s="2961">
        <v>68130.7</v>
      </c>
      <c r="E17" s="2961">
        <v>229947</v>
      </c>
      <c r="F17" s="2961">
        <v>3.38</v>
      </c>
      <c r="G17" s="2961">
        <f t="shared" si="1"/>
        <v>3.38</v>
      </c>
      <c r="H17" s="2961" t="s">
        <v>3100</v>
      </c>
      <c r="I17" s="2961" t="s">
        <v>3153</v>
      </c>
      <c r="J17" s="2961">
        <v>58830</v>
      </c>
      <c r="K17" s="2961">
        <v>58830</v>
      </c>
      <c r="L17" s="2961">
        <v>2558.42</v>
      </c>
      <c r="M17" s="2961">
        <f t="shared" si="0"/>
        <v>2558</v>
      </c>
      <c r="N17" s="2962">
        <v>0</v>
      </c>
      <c r="O17" s="2961" t="s">
        <v>3154</v>
      </c>
      <c r="P17" s="2961" t="s">
        <v>3103</v>
      </c>
    </row>
    <row r="18" spans="1:16" ht="28.8">
      <c r="A18" s="2961" t="s">
        <v>3155</v>
      </c>
      <c r="B18" s="2961" t="s">
        <v>3097</v>
      </c>
      <c r="C18" s="2961" t="s">
        <v>3105</v>
      </c>
      <c r="D18" s="2961">
        <v>40366</v>
      </c>
      <c r="E18" s="2961">
        <v>141281</v>
      </c>
      <c r="F18" s="2961">
        <v>3.5</v>
      </c>
      <c r="G18" s="2961">
        <f t="shared" si="1"/>
        <v>3.5</v>
      </c>
      <c r="H18" s="2961" t="s">
        <v>3100</v>
      </c>
      <c r="I18" s="2961" t="s">
        <v>3156</v>
      </c>
      <c r="J18" s="2961">
        <v>99220</v>
      </c>
      <c r="K18" s="2961">
        <v>99220</v>
      </c>
      <c r="L18" s="2961">
        <v>7022.88</v>
      </c>
      <c r="M18" s="2961">
        <f t="shared" si="0"/>
        <v>7023</v>
      </c>
      <c r="N18" s="2962">
        <v>0</v>
      </c>
      <c r="O18" s="2961" t="s">
        <v>3157</v>
      </c>
      <c r="P18" s="2961" t="s">
        <v>3108</v>
      </c>
    </row>
    <row r="19" spans="1:16" ht="28.8">
      <c r="A19" s="2961" t="s">
        <v>3158</v>
      </c>
      <c r="B19" s="2961" t="s">
        <v>3097</v>
      </c>
      <c r="C19" s="2961" t="s">
        <v>3105</v>
      </c>
      <c r="D19" s="2961">
        <v>53037</v>
      </c>
      <c r="E19" s="2961">
        <v>185629.5</v>
      </c>
      <c r="F19" s="2961">
        <v>3.5</v>
      </c>
      <c r="G19" s="2961">
        <f t="shared" si="1"/>
        <v>3.5</v>
      </c>
      <c r="H19" s="2961" t="s">
        <v>3100</v>
      </c>
      <c r="I19" s="2961" t="s">
        <v>3156</v>
      </c>
      <c r="J19" s="2961">
        <v>130790</v>
      </c>
      <c r="K19" s="2961">
        <v>130790</v>
      </c>
      <c r="L19" s="2961">
        <v>7045.76</v>
      </c>
      <c r="M19" s="2961">
        <f t="shared" si="0"/>
        <v>7046</v>
      </c>
      <c r="N19" s="2962">
        <v>0</v>
      </c>
      <c r="O19" s="2961" t="s">
        <v>3159</v>
      </c>
      <c r="P19" s="2961" t="s">
        <v>3108</v>
      </c>
    </row>
    <row r="20" spans="1:16" ht="28.8">
      <c r="A20" s="2961" t="s">
        <v>3160</v>
      </c>
      <c r="B20" s="2961" t="s">
        <v>3097</v>
      </c>
      <c r="C20" s="2961" t="s">
        <v>3105</v>
      </c>
      <c r="D20" s="2961">
        <v>19293.099999999999</v>
      </c>
      <c r="E20" s="2961">
        <v>55178.27</v>
      </c>
      <c r="F20" s="2961">
        <v>2.86</v>
      </c>
      <c r="G20" s="2961">
        <f t="shared" si="1"/>
        <v>2.86</v>
      </c>
      <c r="H20" s="2961" t="s">
        <v>3100</v>
      </c>
      <c r="I20" s="2961" t="s">
        <v>3156</v>
      </c>
      <c r="J20" s="2961">
        <v>29150</v>
      </c>
      <c r="K20" s="2961">
        <v>29150</v>
      </c>
      <c r="L20" s="2961">
        <v>5282.88</v>
      </c>
      <c r="M20" s="2961">
        <f t="shared" si="0"/>
        <v>5283</v>
      </c>
      <c r="N20" s="2962">
        <v>0</v>
      </c>
      <c r="O20" s="2961" t="s">
        <v>3161</v>
      </c>
      <c r="P20" s="2961" t="s">
        <v>3128</v>
      </c>
    </row>
    <row r="21" spans="1:16" ht="28.8">
      <c r="A21" s="2961" t="s">
        <v>3162</v>
      </c>
      <c r="B21" s="2961" t="s">
        <v>3097</v>
      </c>
      <c r="C21" s="2961" t="s">
        <v>3105</v>
      </c>
      <c r="D21" s="2961">
        <v>41761.980000000003</v>
      </c>
      <c r="E21" s="2961">
        <v>127226</v>
      </c>
      <c r="F21" s="2961">
        <v>3.05</v>
      </c>
      <c r="G21" s="2961">
        <f t="shared" si="1"/>
        <v>3.05</v>
      </c>
      <c r="H21" s="2961" t="s">
        <v>3100</v>
      </c>
      <c r="I21" s="2961" t="s">
        <v>3163</v>
      </c>
      <c r="J21" s="2961">
        <v>89210</v>
      </c>
      <c r="K21" s="2961">
        <v>133820</v>
      </c>
      <c r="L21" s="2961">
        <v>10518.29</v>
      </c>
      <c r="M21" s="2961">
        <f t="shared" si="0"/>
        <v>7012</v>
      </c>
      <c r="N21" s="2962">
        <v>50.01</v>
      </c>
      <c r="O21" s="2961" t="s">
        <v>3164</v>
      </c>
      <c r="P21" s="2961" t="s">
        <v>3128</v>
      </c>
    </row>
    <row r="22" spans="1:16" ht="28.8">
      <c r="A22" s="2961" t="s">
        <v>3165</v>
      </c>
      <c r="B22" s="2961" t="s">
        <v>3097</v>
      </c>
      <c r="C22" s="2961" t="s">
        <v>3098</v>
      </c>
      <c r="D22" s="2961">
        <v>67816.88</v>
      </c>
      <c r="E22" s="2961">
        <v>250128</v>
      </c>
      <c r="F22" s="2961">
        <v>3.9</v>
      </c>
      <c r="G22" s="2961">
        <f t="shared" si="1"/>
        <v>3.69</v>
      </c>
      <c r="H22" s="2961" t="s">
        <v>3100</v>
      </c>
      <c r="I22" s="2961" t="s">
        <v>3166</v>
      </c>
      <c r="J22" s="2961">
        <v>130350</v>
      </c>
      <c r="K22" s="2961">
        <v>130850</v>
      </c>
      <c r="L22" s="2961">
        <v>5231.3100000000004</v>
      </c>
      <c r="M22" s="2961">
        <f t="shared" si="0"/>
        <v>5211</v>
      </c>
      <c r="N22" s="2962">
        <v>0.38</v>
      </c>
      <c r="O22" s="2961" t="s">
        <v>3167</v>
      </c>
      <c r="P22" s="2961" t="s">
        <v>3128</v>
      </c>
    </row>
    <row r="23" spans="1:16" ht="28.8">
      <c r="A23" s="2961" t="s">
        <v>3133</v>
      </c>
      <c r="B23" s="2961" t="s">
        <v>3097</v>
      </c>
      <c r="C23" s="2961" t="s">
        <v>3098</v>
      </c>
      <c r="D23" s="2961">
        <v>57007</v>
      </c>
      <c r="E23" s="2961">
        <v>188924</v>
      </c>
      <c r="F23" s="2961">
        <v>3.31</v>
      </c>
      <c r="G23" s="2961">
        <f t="shared" si="1"/>
        <v>3.31</v>
      </c>
      <c r="H23" s="2961" t="s">
        <v>3100</v>
      </c>
      <c r="I23" s="2961" t="s">
        <v>3166</v>
      </c>
      <c r="J23" s="2961">
        <v>133140</v>
      </c>
      <c r="K23" s="2961">
        <v>133140</v>
      </c>
      <c r="L23" s="2961">
        <v>7047.27</v>
      </c>
      <c r="M23" s="2961">
        <f t="shared" si="0"/>
        <v>7047</v>
      </c>
      <c r="N23" s="2962">
        <v>0</v>
      </c>
      <c r="O23" s="2961" t="s">
        <v>3168</v>
      </c>
      <c r="P23" s="2961" t="s">
        <v>3108</v>
      </c>
    </row>
    <row r="24" spans="1:16" ht="43.2">
      <c r="A24" s="2961" t="s">
        <v>3169</v>
      </c>
      <c r="B24" s="2961" t="s">
        <v>3097</v>
      </c>
      <c r="C24" s="2961" t="s">
        <v>3098</v>
      </c>
      <c r="D24" s="2961">
        <v>335071.8</v>
      </c>
      <c r="E24" s="2961">
        <v>837679.6</v>
      </c>
      <c r="F24" s="2961" t="s">
        <v>3170</v>
      </c>
      <c r="G24" s="2961">
        <f t="shared" si="1"/>
        <v>2.5</v>
      </c>
      <c r="H24" s="2961" t="s">
        <v>3100</v>
      </c>
      <c r="I24" s="2961" t="s">
        <v>3171</v>
      </c>
      <c r="J24" s="2961">
        <v>113360</v>
      </c>
      <c r="K24" s="2961">
        <v>113360</v>
      </c>
      <c r="L24" s="2961">
        <v>1353.25</v>
      </c>
      <c r="M24" s="2961">
        <f t="shared" si="0"/>
        <v>1353</v>
      </c>
      <c r="N24" s="2962">
        <v>0</v>
      </c>
      <c r="O24" s="2961" t="s">
        <v>3172</v>
      </c>
      <c r="P24" s="2961" t="s">
        <v>3103</v>
      </c>
    </row>
    <row r="25" spans="1:16" ht="28.8">
      <c r="A25" s="2961" t="s">
        <v>3173</v>
      </c>
      <c r="B25" s="2961" t="s">
        <v>3097</v>
      </c>
      <c r="C25" s="2961" t="s">
        <v>3098</v>
      </c>
      <c r="D25" s="2961">
        <v>93800</v>
      </c>
      <c r="E25" s="2961">
        <v>315168</v>
      </c>
      <c r="F25" s="2961">
        <v>3.36</v>
      </c>
      <c r="G25" s="2961">
        <f t="shared" si="1"/>
        <v>3.36</v>
      </c>
      <c r="H25" s="2961" t="s">
        <v>3100</v>
      </c>
      <c r="I25" s="2961" t="s">
        <v>3174</v>
      </c>
      <c r="J25" s="2961">
        <v>176740</v>
      </c>
      <c r="K25" s="2961">
        <v>176740</v>
      </c>
      <c r="L25" s="2961">
        <v>5607.8</v>
      </c>
      <c r="M25" s="2961">
        <f t="shared" si="0"/>
        <v>5608</v>
      </c>
      <c r="N25" s="2962">
        <v>0</v>
      </c>
      <c r="O25" s="2961" t="s">
        <v>3175</v>
      </c>
      <c r="P25" s="2961" t="s">
        <v>3108</v>
      </c>
    </row>
    <row r="26" spans="1:16" ht="28.8">
      <c r="A26" s="2961" t="s">
        <v>3173</v>
      </c>
      <c r="B26" s="2961" t="s">
        <v>3097</v>
      </c>
      <c r="C26" s="2961" t="s">
        <v>3098</v>
      </c>
      <c r="D26" s="2961">
        <v>152200</v>
      </c>
      <c r="E26" s="2961">
        <v>418550</v>
      </c>
      <c r="F26" s="2961">
        <v>2.75</v>
      </c>
      <c r="G26" s="2961">
        <f t="shared" si="1"/>
        <v>2.75</v>
      </c>
      <c r="H26" s="2961" t="s">
        <v>3100</v>
      </c>
      <c r="I26" s="2961" t="s">
        <v>3174</v>
      </c>
      <c r="J26" s="2961">
        <v>234810</v>
      </c>
      <c r="K26" s="2961">
        <v>234810</v>
      </c>
      <c r="L26" s="2961">
        <v>5610.07</v>
      </c>
      <c r="M26" s="2961">
        <f t="shared" si="0"/>
        <v>5610</v>
      </c>
      <c r="N26" s="2962">
        <v>0</v>
      </c>
      <c r="O26" s="2961" t="s">
        <v>3175</v>
      </c>
      <c r="P26" s="2961" t="s">
        <v>3108</v>
      </c>
    </row>
    <row r="27" spans="1:16" ht="28.8">
      <c r="A27" s="2961" t="s">
        <v>3176</v>
      </c>
      <c r="B27" s="2961" t="s">
        <v>3097</v>
      </c>
      <c r="C27" s="2961" t="s">
        <v>3098</v>
      </c>
      <c r="D27" s="2961">
        <v>50499.7</v>
      </c>
      <c r="E27" s="2961">
        <v>176750</v>
      </c>
      <c r="F27" s="2961">
        <v>3.5</v>
      </c>
      <c r="G27" s="2961">
        <f t="shared" si="1"/>
        <v>3.5</v>
      </c>
      <c r="H27" s="2961" t="s">
        <v>3100</v>
      </c>
      <c r="I27" s="2961" t="s">
        <v>3174</v>
      </c>
      <c r="J27" s="2961">
        <v>117110</v>
      </c>
      <c r="K27" s="2961">
        <v>163999</v>
      </c>
      <c r="L27" s="2961">
        <v>9278.59</v>
      </c>
      <c r="M27" s="2961">
        <f t="shared" si="0"/>
        <v>6626</v>
      </c>
      <c r="N27" s="2962">
        <v>40.04</v>
      </c>
      <c r="O27" s="2961" t="s">
        <v>3177</v>
      </c>
      <c r="P27" s="2961" t="s">
        <v>3108</v>
      </c>
    </row>
    <row r="28" spans="1:16" ht="28.8">
      <c r="A28" s="2961" t="s">
        <v>3178</v>
      </c>
      <c r="B28" s="2961" t="s">
        <v>3097</v>
      </c>
      <c r="C28" s="2961" t="s">
        <v>3105</v>
      </c>
      <c r="D28" s="2961">
        <v>9448.59</v>
      </c>
      <c r="E28" s="2961">
        <v>30080</v>
      </c>
      <c r="F28" s="2961">
        <v>3.2</v>
      </c>
      <c r="G28" s="2961">
        <f t="shared" si="1"/>
        <v>3.18</v>
      </c>
      <c r="H28" s="2961" t="s">
        <v>3100</v>
      </c>
      <c r="I28" s="2961" t="s">
        <v>3174</v>
      </c>
      <c r="J28" s="2961">
        <v>6240</v>
      </c>
      <c r="K28" s="2961">
        <v>9362</v>
      </c>
      <c r="L28" s="2961">
        <v>3112.36</v>
      </c>
      <c r="M28" s="2961">
        <f t="shared" si="0"/>
        <v>2074</v>
      </c>
      <c r="N28" s="2962">
        <v>50.03</v>
      </c>
      <c r="O28" s="2961" t="s">
        <v>3179</v>
      </c>
      <c r="P28" s="2961" t="s">
        <v>3128</v>
      </c>
    </row>
    <row r="29" spans="1:16" ht="28.8">
      <c r="A29" s="2961" t="s">
        <v>3180</v>
      </c>
      <c r="B29" s="2961" t="s">
        <v>3097</v>
      </c>
      <c r="C29" s="2961" t="s">
        <v>3105</v>
      </c>
      <c r="D29" s="2961">
        <v>26666.73</v>
      </c>
      <c r="E29" s="2961">
        <v>83884</v>
      </c>
      <c r="F29" s="2961">
        <v>3.5</v>
      </c>
      <c r="G29" s="2961">
        <f t="shared" si="1"/>
        <v>3.15</v>
      </c>
      <c r="H29" s="2961" t="s">
        <v>3100</v>
      </c>
      <c r="I29" s="2961" t="s">
        <v>3181</v>
      </c>
      <c r="J29" s="2961">
        <v>57050</v>
      </c>
      <c r="K29" s="2961">
        <v>85000</v>
      </c>
      <c r="L29" s="2961">
        <v>10133.040000000001</v>
      </c>
      <c r="M29" s="2961">
        <f t="shared" si="0"/>
        <v>6801</v>
      </c>
      <c r="N29" s="2962">
        <v>48.99</v>
      </c>
      <c r="O29" s="2961" t="s">
        <v>3182</v>
      </c>
      <c r="P29" s="2961" t="s">
        <v>3128</v>
      </c>
    </row>
    <row r="30" spans="1:16" ht="28.8">
      <c r="A30" s="2961" t="s">
        <v>3183</v>
      </c>
      <c r="B30" s="2961" t="s">
        <v>3097</v>
      </c>
      <c r="C30" s="2961" t="s">
        <v>3105</v>
      </c>
      <c r="D30" s="2961">
        <v>86178.16</v>
      </c>
      <c r="E30" s="2961">
        <v>270627.7</v>
      </c>
      <c r="F30" s="2961" t="s">
        <v>3184</v>
      </c>
      <c r="G30" s="2961">
        <f t="shared" si="1"/>
        <v>3.14</v>
      </c>
      <c r="H30" s="2961" t="s">
        <v>3100</v>
      </c>
      <c r="I30" s="2961" t="s">
        <v>3185</v>
      </c>
      <c r="J30" s="2961">
        <v>58210</v>
      </c>
      <c r="K30" s="2961">
        <v>289210</v>
      </c>
      <c r="L30" s="2961">
        <v>10686.63</v>
      </c>
      <c r="M30" s="2961">
        <f t="shared" si="0"/>
        <v>2151</v>
      </c>
      <c r="N30" s="2962">
        <v>396.84</v>
      </c>
      <c r="O30" s="2961" t="s">
        <v>3186</v>
      </c>
      <c r="P30" s="2961" t="s">
        <v>3128</v>
      </c>
    </row>
    <row r="31" spans="1:16" ht="28.8">
      <c r="A31" s="2961" t="s">
        <v>3187</v>
      </c>
      <c r="B31" s="2961" t="s">
        <v>3097</v>
      </c>
      <c r="C31" s="2961" t="s">
        <v>3105</v>
      </c>
      <c r="D31" s="2961">
        <v>34701.199999999997</v>
      </c>
      <c r="E31" s="2961">
        <v>119514</v>
      </c>
      <c r="F31" s="2961">
        <v>3.5</v>
      </c>
      <c r="G31" s="2961">
        <f t="shared" si="1"/>
        <v>3.44</v>
      </c>
      <c r="H31" s="2961" t="s">
        <v>3100</v>
      </c>
      <c r="I31" s="2961" t="s">
        <v>3188</v>
      </c>
      <c r="J31" s="2961">
        <v>17930</v>
      </c>
      <c r="K31" s="2961">
        <v>55330</v>
      </c>
      <c r="L31" s="2961">
        <v>4629.57</v>
      </c>
      <c r="M31" s="2961">
        <f t="shared" si="0"/>
        <v>1500</v>
      </c>
      <c r="N31" s="2962">
        <v>208.59</v>
      </c>
      <c r="O31" s="2961" t="s">
        <v>3189</v>
      </c>
      <c r="P31" s="2961" t="s">
        <v>3108</v>
      </c>
    </row>
    <row r="34" spans="5:5">
      <c r="E34" s="3042">
        <f ca="1">系统读取表!B5*10000</f>
        <v>557416499.99999976</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6"/>
  <sheetViews>
    <sheetView workbookViewId="0">
      <selection activeCell="H35" sqref="H35"/>
    </sheetView>
  </sheetViews>
  <sheetFormatPr defaultRowHeight="14.4"/>
  <cols>
    <col min="1" max="1" width="18.88671875" customWidth="1"/>
    <col min="2" max="2" width="11" bestFit="1" customWidth="1"/>
    <col min="3" max="3" width="17.21875" bestFit="1" customWidth="1"/>
    <col min="4" max="4" width="9.44140625" bestFit="1" customWidth="1"/>
    <col min="5" max="5" width="10.6640625" customWidth="1"/>
    <col min="7" max="7" width="11.109375" customWidth="1"/>
    <col min="10" max="10" width="10.6640625" customWidth="1"/>
  </cols>
  <sheetData>
    <row r="2" spans="1:5">
      <c r="A2" s="3018" t="s">
        <v>3267</v>
      </c>
      <c r="B2" s="3018" t="s">
        <v>3270</v>
      </c>
      <c r="C2" s="3018" t="s">
        <v>3271</v>
      </c>
      <c r="D2" s="3018" t="s">
        <v>3269</v>
      </c>
      <c r="E2" s="3018" t="s">
        <v>3287</v>
      </c>
    </row>
    <row r="3" spans="1:5">
      <c r="A3" s="3018" t="s">
        <v>3268</v>
      </c>
      <c r="B3" s="2951">
        <v>188777.66</v>
      </c>
      <c r="C3" s="2951">
        <v>132189.75</v>
      </c>
      <c r="D3" s="2951">
        <v>55697.45</v>
      </c>
      <c r="E3" s="2951"/>
    </row>
    <row r="4" spans="1:5">
      <c r="A4" s="3018" t="s">
        <v>3272</v>
      </c>
      <c r="B4" s="2951">
        <v>17188</v>
      </c>
      <c r="C4" s="2951">
        <v>17188</v>
      </c>
      <c r="D4" s="2951">
        <v>0</v>
      </c>
      <c r="E4" s="2951">
        <v>34</v>
      </c>
    </row>
    <row r="5" spans="1:5">
      <c r="A5" s="3019" t="s">
        <v>3273</v>
      </c>
      <c r="B5" s="2951">
        <v>18077.07</v>
      </c>
      <c r="C5" s="2951">
        <v>17570.73</v>
      </c>
      <c r="D5" s="2951">
        <v>0</v>
      </c>
      <c r="E5" s="2951">
        <v>34</v>
      </c>
    </row>
    <row r="6" spans="1:5">
      <c r="A6" s="3018" t="s">
        <v>3274</v>
      </c>
      <c r="B6" s="2951">
        <v>13674.51</v>
      </c>
      <c r="C6" s="2951">
        <v>13290.39</v>
      </c>
      <c r="D6" s="2951">
        <v>0</v>
      </c>
      <c r="E6" s="2951">
        <v>26</v>
      </c>
    </row>
    <row r="7" spans="1:5">
      <c r="A7" s="3023" t="s">
        <v>3275</v>
      </c>
      <c r="B7" s="2951">
        <v>14265.21</v>
      </c>
      <c r="C7" s="2951">
        <f>B7</f>
        <v>14265.21</v>
      </c>
      <c r="D7" s="2951">
        <v>0</v>
      </c>
      <c r="E7" s="2951">
        <v>29</v>
      </c>
    </row>
    <row r="8" spans="1:5">
      <c r="A8" s="3018" t="s">
        <v>3276</v>
      </c>
      <c r="B8" s="2951">
        <v>13182</v>
      </c>
      <c r="C8" s="2951">
        <v>13182</v>
      </c>
      <c r="D8" s="2951">
        <v>0</v>
      </c>
      <c r="E8" s="2951">
        <v>29</v>
      </c>
    </row>
    <row r="9" spans="1:5">
      <c r="A9" s="3023" t="s">
        <v>3277</v>
      </c>
      <c r="B9" s="2951">
        <v>9838.68</v>
      </c>
      <c r="C9" s="3018">
        <f>B9</f>
        <v>9838.68</v>
      </c>
      <c r="D9" s="2951">
        <v>0</v>
      </c>
      <c r="E9" s="2951">
        <v>22</v>
      </c>
    </row>
    <row r="10" spans="1:5">
      <c r="A10" s="3023" t="s">
        <v>3278</v>
      </c>
      <c r="B10" s="2951">
        <v>15443.06</v>
      </c>
      <c r="C10" s="2951">
        <f>B10</f>
        <v>15443.06</v>
      </c>
      <c r="D10" s="2951">
        <v>0</v>
      </c>
      <c r="E10" s="2951">
        <v>34</v>
      </c>
    </row>
    <row r="11" spans="1:5">
      <c r="A11" s="3023" t="s">
        <v>3279</v>
      </c>
      <c r="B11" s="2951">
        <v>15442.1</v>
      </c>
      <c r="C11" s="2951">
        <v>15442.1</v>
      </c>
      <c r="D11" s="2951">
        <v>0</v>
      </c>
      <c r="E11" s="2951">
        <v>34</v>
      </c>
    </row>
    <row r="12" spans="1:5">
      <c r="A12" s="3023" t="s">
        <v>3280</v>
      </c>
      <c r="B12" s="2951">
        <v>13902.89</v>
      </c>
      <c r="C12" s="2951">
        <f>B12</f>
        <v>13902.89</v>
      </c>
      <c r="D12" s="2951">
        <v>0</v>
      </c>
      <c r="E12" s="2951">
        <v>26</v>
      </c>
    </row>
    <row r="13" spans="1:5">
      <c r="A13" s="3019" t="s">
        <v>3281</v>
      </c>
      <c r="B13" s="2951">
        <v>1946.69</v>
      </c>
      <c r="C13" s="2951">
        <f>B13</f>
        <v>1946.69</v>
      </c>
      <c r="D13" s="2951">
        <v>0</v>
      </c>
      <c r="E13" s="2951">
        <v>3</v>
      </c>
    </row>
    <row r="14" spans="1:5">
      <c r="A14" s="3018" t="s">
        <v>3282</v>
      </c>
      <c r="B14" s="2951">
        <v>120</v>
      </c>
      <c r="C14" s="2951">
        <v>120</v>
      </c>
      <c r="D14" s="2951">
        <v>0</v>
      </c>
      <c r="E14" s="2951">
        <v>1</v>
      </c>
    </row>
    <row r="15" spans="1:5">
      <c r="A15" s="3019" t="s">
        <v>3283</v>
      </c>
      <c r="B15" s="2951">
        <v>35868.67</v>
      </c>
      <c r="C15" s="2951">
        <v>0</v>
      </c>
      <c r="D15" s="2951">
        <f>B15</f>
        <v>35868.67</v>
      </c>
      <c r="E15" s="3018" t="s">
        <v>3285</v>
      </c>
    </row>
    <row r="16" spans="1:5">
      <c r="A16" s="3018" t="s">
        <v>3284</v>
      </c>
      <c r="B16" s="2951">
        <v>19828.78</v>
      </c>
      <c r="C16" s="2951">
        <v>0</v>
      </c>
      <c r="D16" s="2951">
        <f>B16</f>
        <v>19828.78</v>
      </c>
      <c r="E16" s="3018" t="s">
        <v>3285</v>
      </c>
    </row>
    <row r="17" spans="1:10">
      <c r="A17" s="3019"/>
      <c r="B17" s="2951">
        <f>SUM(B4:B16)</f>
        <v>188777.66</v>
      </c>
      <c r="C17" s="2951">
        <f>SUM(C4:C16)</f>
        <v>132189.74999999997</v>
      </c>
      <c r="D17" s="2951">
        <f>SUM(D4:D16)</f>
        <v>55697.45</v>
      </c>
      <c r="E17" s="3018" t="s">
        <v>3286</v>
      </c>
    </row>
    <row r="18" spans="1:10">
      <c r="A18" s="3026" t="s">
        <v>3301</v>
      </c>
      <c r="C18">
        <f>ROUND(C17/'土地比较法-住宅、综合'!C38,2)</f>
        <v>3.35</v>
      </c>
    </row>
    <row r="22" spans="1:10">
      <c r="A22" s="3018" t="s">
        <v>3288</v>
      </c>
      <c r="B22" s="3018" t="s">
        <v>3289</v>
      </c>
      <c r="C22" s="3018" t="s">
        <v>3290</v>
      </c>
      <c r="D22" s="3018" t="s">
        <v>3291</v>
      </c>
      <c r="E22" s="3018" t="s">
        <v>3292</v>
      </c>
    </row>
    <row r="23" spans="1:10">
      <c r="A23" s="3018" t="s">
        <v>3272</v>
      </c>
      <c r="B23" s="2951">
        <v>17198.810000000001</v>
      </c>
      <c r="C23" s="2951">
        <v>16360.74</v>
      </c>
      <c r="D23" s="2951">
        <v>514.02</v>
      </c>
      <c r="E23" s="2951">
        <v>324.05</v>
      </c>
    </row>
    <row r="24" spans="1:10">
      <c r="A24" s="3019" t="s">
        <v>3273</v>
      </c>
      <c r="B24" s="2951">
        <v>18092.57</v>
      </c>
      <c r="C24" s="2951">
        <v>16354.14</v>
      </c>
      <c r="D24" s="2951">
        <v>1415.7</v>
      </c>
      <c r="E24" s="2951">
        <v>322.73</v>
      </c>
    </row>
    <row r="25" spans="1:10">
      <c r="A25" s="3018" t="s">
        <v>3274</v>
      </c>
      <c r="B25" s="2951">
        <v>13692.1</v>
      </c>
      <c r="C25" s="2951">
        <v>12592.92</v>
      </c>
      <c r="D25" s="2951">
        <v>783.04</v>
      </c>
      <c r="E25" s="2951">
        <v>316.14</v>
      </c>
    </row>
    <row r="26" spans="1:10">
      <c r="A26" s="3023" t="s">
        <v>3275</v>
      </c>
      <c r="B26" s="2951">
        <v>14269.74</v>
      </c>
      <c r="C26" s="2951">
        <v>14269.74</v>
      </c>
      <c r="D26" s="2951">
        <v>0</v>
      </c>
      <c r="E26" s="2951">
        <v>0</v>
      </c>
      <c r="G26" s="3043">
        <v>41051.915999999997</v>
      </c>
    </row>
    <row r="27" spans="1:10">
      <c r="A27" s="3018" t="s">
        <v>3276</v>
      </c>
      <c r="B27" s="2951">
        <v>13190</v>
      </c>
      <c r="C27" s="2951">
        <v>13189.2</v>
      </c>
      <c r="D27" s="2951">
        <v>0</v>
      </c>
      <c r="E27" s="2951">
        <v>0.8</v>
      </c>
      <c r="G27" s="3043">
        <v>19836.263999999999</v>
      </c>
    </row>
    <row r="28" spans="1:10">
      <c r="A28" s="3023" t="s">
        <v>3277</v>
      </c>
      <c r="B28" s="2951">
        <v>9850.4500000000007</v>
      </c>
      <c r="C28" s="2951">
        <v>9153.9</v>
      </c>
      <c r="D28" s="2951">
        <v>0</v>
      </c>
      <c r="E28" s="2951">
        <v>696.55</v>
      </c>
      <c r="G28" s="3044">
        <f>SUM(G26:G27)</f>
        <v>60888.179999999993</v>
      </c>
      <c r="J28">
        <f>C17/'土地比较法-住宅、综合'!C38</f>
        <v>3.3464751315086954</v>
      </c>
    </row>
    <row r="29" spans="1:10">
      <c r="A29" s="3023" t="s">
        <v>3278</v>
      </c>
      <c r="B29" s="2951">
        <v>15450.96</v>
      </c>
      <c r="C29" s="2951">
        <v>15450.96</v>
      </c>
      <c r="D29" s="2951">
        <v>0</v>
      </c>
      <c r="E29" s="2951">
        <v>0</v>
      </c>
    </row>
    <row r="30" spans="1:10">
      <c r="A30" s="3023" t="s">
        <v>3279</v>
      </c>
      <c r="B30" s="2951">
        <v>15445.74</v>
      </c>
      <c r="C30" s="2951">
        <v>15309.34</v>
      </c>
      <c r="D30" s="2951">
        <v>0</v>
      </c>
      <c r="E30" s="2951">
        <v>136.4</v>
      </c>
      <c r="J30" s="3045">
        <f>ROUND('数据-汇总表'!E27/C17*'土地比较法-住宅、综合'!C38,2)</f>
        <v>16576.98</v>
      </c>
    </row>
    <row r="31" spans="1:10">
      <c r="A31" s="3023" t="s">
        <v>3280</v>
      </c>
      <c r="B31" s="2951">
        <v>13913.32</v>
      </c>
      <c r="C31" s="2951">
        <v>12789.4</v>
      </c>
      <c r="D31" s="2951">
        <v>1120.93</v>
      </c>
      <c r="E31" s="2951">
        <v>2.99</v>
      </c>
    </row>
    <row r="32" spans="1:10">
      <c r="A32" s="3019" t="s">
        <v>3281</v>
      </c>
      <c r="B32" s="2951">
        <v>1980.42</v>
      </c>
      <c r="C32" s="2951">
        <v>0</v>
      </c>
      <c r="D32" s="2951">
        <v>0</v>
      </c>
      <c r="E32" s="2951">
        <f>B32</f>
        <v>1980.42</v>
      </c>
    </row>
    <row r="33" spans="1:5">
      <c r="A33" s="3018" t="s">
        <v>3282</v>
      </c>
      <c r="B33" s="2951">
        <v>121.38</v>
      </c>
      <c r="C33" s="2951">
        <v>0</v>
      </c>
      <c r="D33" s="2951">
        <v>0</v>
      </c>
      <c r="E33" s="2951">
        <f t="shared" ref="E33:E35" si="0">B33</f>
        <v>121.38</v>
      </c>
    </row>
    <row r="34" spans="1:5">
      <c r="A34" s="3019" t="s">
        <v>3283</v>
      </c>
      <c r="B34" s="2951">
        <v>35671.370000000003</v>
      </c>
      <c r="C34" s="2951">
        <v>0</v>
      </c>
      <c r="D34" s="2951">
        <v>0</v>
      </c>
      <c r="E34" s="2951">
        <f t="shared" si="0"/>
        <v>35671.370000000003</v>
      </c>
    </row>
    <row r="35" spans="1:5">
      <c r="A35" s="3018" t="s">
        <v>3284</v>
      </c>
      <c r="B35" s="2951">
        <v>19763.759999999998</v>
      </c>
      <c r="C35" s="2951">
        <v>0</v>
      </c>
      <c r="D35" s="2951">
        <v>0</v>
      </c>
      <c r="E35" s="2951">
        <f t="shared" si="0"/>
        <v>19763.759999999998</v>
      </c>
    </row>
    <row r="36" spans="1:5">
      <c r="A36" s="2951"/>
      <c r="B36" s="2951">
        <f>SUM(B23:B35)</f>
        <v>188640.62000000002</v>
      </c>
      <c r="C36" s="2951">
        <f t="shared" ref="C36:E36" si="1">SUM(C23:C35)</f>
        <v>125470.33999999997</v>
      </c>
      <c r="D36" s="2951">
        <f t="shared" si="1"/>
        <v>3833.6900000000005</v>
      </c>
      <c r="E36" s="2951">
        <f t="shared" si="1"/>
        <v>59336.59</v>
      </c>
    </row>
    <row r="37" spans="1:5">
      <c r="B37">
        <f>B7+B9+B10+B11+B12-B26-B28-B29-B30-B31</f>
        <v>-38.269999999998618</v>
      </c>
    </row>
    <row r="38" spans="1:5" s="3006" customFormat="1"/>
    <row r="39" spans="1:5" s="3006" customFormat="1">
      <c r="A39" s="2957" t="s">
        <v>3294</v>
      </c>
      <c r="B39" s="2957" t="s">
        <v>3289</v>
      </c>
      <c r="C39" s="2957" t="s">
        <v>3295</v>
      </c>
      <c r="D39" s="2957" t="s">
        <v>3296</v>
      </c>
    </row>
    <row r="40" spans="1:5" s="3006" customFormat="1">
      <c r="B40" s="3006">
        <v>188777.66</v>
      </c>
      <c r="C40" s="3006">
        <v>30050.563999999998</v>
      </c>
      <c r="D40" s="3006">
        <f>ROUND(C40/B40*10000,0)</f>
        <v>1592</v>
      </c>
    </row>
    <row r="41" spans="1:5" s="3006" customFormat="1"/>
    <row r="42" spans="1:5">
      <c r="A42" s="2957" t="s">
        <v>3293</v>
      </c>
      <c r="B42" s="2957" t="s">
        <v>3289</v>
      </c>
    </row>
    <row r="43" spans="1:5">
      <c r="A43" s="2957" t="s">
        <v>3297</v>
      </c>
      <c r="B43">
        <v>15299.48</v>
      </c>
      <c r="D43">
        <f>B43-B30</f>
        <v>-146.26000000000022</v>
      </c>
    </row>
    <row r="44" spans="1:5">
      <c r="A44" s="2957" t="s">
        <v>3298</v>
      </c>
    </row>
    <row r="45" spans="1:5">
      <c r="A45" s="2957" t="s">
        <v>3299</v>
      </c>
      <c r="B45">
        <v>21947.43</v>
      </c>
      <c r="D45">
        <f>B45-C31-C28</f>
        <v>4.1300000000010186</v>
      </c>
    </row>
    <row r="46" spans="1:5">
      <c r="B46">
        <v>1105.33</v>
      </c>
      <c r="D46">
        <f>B46-D31</f>
        <v>-15.600000000000136</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43"/>
  <sheetViews>
    <sheetView topLeftCell="A46" workbookViewId="0">
      <selection activeCell="E55" sqref="E55"/>
    </sheetView>
  </sheetViews>
  <sheetFormatPr defaultColWidth="9" defaultRowHeight="14.4"/>
  <cols>
    <col min="1" max="1" width="9" style="3006"/>
    <col min="2" max="2" width="13" style="3006" customWidth="1"/>
    <col min="3" max="3" width="5.6640625" style="3006" customWidth="1"/>
    <col min="4" max="4" width="21.6640625" style="3006" customWidth="1"/>
    <col min="5" max="5" width="11.6640625" style="2949" customWidth="1"/>
    <col min="6" max="6" width="18.21875" style="2949" customWidth="1"/>
    <col min="7" max="7" width="11.44140625" style="2949" customWidth="1"/>
    <col min="8" max="8" width="23.6640625" style="2949" customWidth="1"/>
    <col min="9" max="9" width="19.77734375" style="3006" customWidth="1"/>
    <col min="10" max="10" width="12.6640625" style="3006" bestFit="1" customWidth="1"/>
    <col min="11" max="257" width="9" style="3006"/>
    <col min="258" max="258" width="13" style="3006" customWidth="1"/>
    <col min="259" max="259" width="5.6640625" style="3006" customWidth="1"/>
    <col min="260" max="260" width="21.6640625" style="3006" customWidth="1"/>
    <col min="261" max="261" width="11.6640625" style="3006" customWidth="1"/>
    <col min="262" max="262" width="18.21875" style="3006" customWidth="1"/>
    <col min="263" max="263" width="11.44140625" style="3006" customWidth="1"/>
    <col min="264" max="264" width="23.6640625" style="3006" customWidth="1"/>
    <col min="265" max="265" width="19.77734375" style="3006" customWidth="1"/>
    <col min="266" max="266" width="12.6640625" style="3006" bestFit="1" customWidth="1"/>
    <col min="267" max="513" width="9" style="3006"/>
    <col min="514" max="514" width="13" style="3006" customWidth="1"/>
    <col min="515" max="515" width="5.6640625" style="3006" customWidth="1"/>
    <col min="516" max="516" width="21.6640625" style="3006" customWidth="1"/>
    <col min="517" max="517" width="11.6640625" style="3006" customWidth="1"/>
    <col min="518" max="518" width="18.21875" style="3006" customWidth="1"/>
    <col min="519" max="519" width="11.44140625" style="3006" customWidth="1"/>
    <col min="520" max="520" width="23.6640625" style="3006" customWidth="1"/>
    <col min="521" max="521" width="19.77734375" style="3006" customWidth="1"/>
    <col min="522" max="522" width="12.6640625" style="3006" bestFit="1" customWidth="1"/>
    <col min="523" max="769" width="9" style="3006"/>
    <col min="770" max="770" width="13" style="3006" customWidth="1"/>
    <col min="771" max="771" width="5.6640625" style="3006" customWidth="1"/>
    <col min="772" max="772" width="21.6640625" style="3006" customWidth="1"/>
    <col min="773" max="773" width="11.6640625" style="3006" customWidth="1"/>
    <col min="774" max="774" width="18.21875" style="3006" customWidth="1"/>
    <col min="775" max="775" width="11.44140625" style="3006" customWidth="1"/>
    <col min="776" max="776" width="23.6640625" style="3006" customWidth="1"/>
    <col min="777" max="777" width="19.77734375" style="3006" customWidth="1"/>
    <col min="778" max="778" width="12.6640625" style="3006" bestFit="1" customWidth="1"/>
    <col min="779" max="1025" width="9" style="3006"/>
    <col min="1026" max="1026" width="13" style="3006" customWidth="1"/>
    <col min="1027" max="1027" width="5.6640625" style="3006" customWidth="1"/>
    <col min="1028" max="1028" width="21.6640625" style="3006" customWidth="1"/>
    <col min="1029" max="1029" width="11.6640625" style="3006" customWidth="1"/>
    <col min="1030" max="1030" width="18.21875" style="3006" customWidth="1"/>
    <col min="1031" max="1031" width="11.44140625" style="3006" customWidth="1"/>
    <col min="1032" max="1032" width="23.6640625" style="3006" customWidth="1"/>
    <col min="1033" max="1033" width="19.77734375" style="3006" customWidth="1"/>
    <col min="1034" max="1034" width="12.6640625" style="3006" bestFit="1" customWidth="1"/>
    <col min="1035" max="1281" width="9" style="3006"/>
    <col min="1282" max="1282" width="13" style="3006" customWidth="1"/>
    <col min="1283" max="1283" width="5.6640625" style="3006" customWidth="1"/>
    <col min="1284" max="1284" width="21.6640625" style="3006" customWidth="1"/>
    <col min="1285" max="1285" width="11.6640625" style="3006" customWidth="1"/>
    <col min="1286" max="1286" width="18.21875" style="3006" customWidth="1"/>
    <col min="1287" max="1287" width="11.44140625" style="3006" customWidth="1"/>
    <col min="1288" max="1288" width="23.6640625" style="3006" customWidth="1"/>
    <col min="1289" max="1289" width="19.77734375" style="3006" customWidth="1"/>
    <col min="1290" max="1290" width="12.6640625" style="3006" bestFit="1" customWidth="1"/>
    <col min="1291" max="1537" width="9" style="3006"/>
    <col min="1538" max="1538" width="13" style="3006" customWidth="1"/>
    <col min="1539" max="1539" width="5.6640625" style="3006" customWidth="1"/>
    <col min="1540" max="1540" width="21.6640625" style="3006" customWidth="1"/>
    <col min="1541" max="1541" width="11.6640625" style="3006" customWidth="1"/>
    <col min="1542" max="1542" width="18.21875" style="3006" customWidth="1"/>
    <col min="1543" max="1543" width="11.44140625" style="3006" customWidth="1"/>
    <col min="1544" max="1544" width="23.6640625" style="3006" customWidth="1"/>
    <col min="1545" max="1545" width="19.77734375" style="3006" customWidth="1"/>
    <col min="1546" max="1546" width="12.6640625" style="3006" bestFit="1" customWidth="1"/>
    <col min="1547" max="1793" width="9" style="3006"/>
    <col min="1794" max="1794" width="13" style="3006" customWidth="1"/>
    <col min="1795" max="1795" width="5.6640625" style="3006" customWidth="1"/>
    <col min="1796" max="1796" width="21.6640625" style="3006" customWidth="1"/>
    <col min="1797" max="1797" width="11.6640625" style="3006" customWidth="1"/>
    <col min="1798" max="1798" width="18.21875" style="3006" customWidth="1"/>
    <col min="1799" max="1799" width="11.44140625" style="3006" customWidth="1"/>
    <col min="1800" max="1800" width="23.6640625" style="3006" customWidth="1"/>
    <col min="1801" max="1801" width="19.77734375" style="3006" customWidth="1"/>
    <col min="1802" max="1802" width="12.6640625" style="3006" bestFit="1" customWidth="1"/>
    <col min="1803" max="2049" width="9" style="3006"/>
    <col min="2050" max="2050" width="13" style="3006" customWidth="1"/>
    <col min="2051" max="2051" width="5.6640625" style="3006" customWidth="1"/>
    <col min="2052" max="2052" width="21.6640625" style="3006" customWidth="1"/>
    <col min="2053" max="2053" width="11.6640625" style="3006" customWidth="1"/>
    <col min="2054" max="2054" width="18.21875" style="3006" customWidth="1"/>
    <col min="2055" max="2055" width="11.44140625" style="3006" customWidth="1"/>
    <col min="2056" max="2056" width="23.6640625" style="3006" customWidth="1"/>
    <col min="2057" max="2057" width="19.77734375" style="3006" customWidth="1"/>
    <col min="2058" max="2058" width="12.6640625" style="3006" bestFit="1" customWidth="1"/>
    <col min="2059" max="2305" width="9" style="3006"/>
    <col min="2306" max="2306" width="13" style="3006" customWidth="1"/>
    <col min="2307" max="2307" width="5.6640625" style="3006" customWidth="1"/>
    <col min="2308" max="2308" width="21.6640625" style="3006" customWidth="1"/>
    <col min="2309" max="2309" width="11.6640625" style="3006" customWidth="1"/>
    <col min="2310" max="2310" width="18.21875" style="3006" customWidth="1"/>
    <col min="2311" max="2311" width="11.44140625" style="3006" customWidth="1"/>
    <col min="2312" max="2312" width="23.6640625" style="3006" customWidth="1"/>
    <col min="2313" max="2313" width="19.77734375" style="3006" customWidth="1"/>
    <col min="2314" max="2314" width="12.6640625" style="3006" bestFit="1" customWidth="1"/>
    <col min="2315" max="2561" width="9" style="3006"/>
    <col min="2562" max="2562" width="13" style="3006" customWidth="1"/>
    <col min="2563" max="2563" width="5.6640625" style="3006" customWidth="1"/>
    <col min="2564" max="2564" width="21.6640625" style="3006" customWidth="1"/>
    <col min="2565" max="2565" width="11.6640625" style="3006" customWidth="1"/>
    <col min="2566" max="2566" width="18.21875" style="3006" customWidth="1"/>
    <col min="2567" max="2567" width="11.44140625" style="3006" customWidth="1"/>
    <col min="2568" max="2568" width="23.6640625" style="3006" customWidth="1"/>
    <col min="2569" max="2569" width="19.77734375" style="3006" customWidth="1"/>
    <col min="2570" max="2570" width="12.6640625" style="3006" bestFit="1" customWidth="1"/>
    <col min="2571" max="2817" width="9" style="3006"/>
    <col min="2818" max="2818" width="13" style="3006" customWidth="1"/>
    <col min="2819" max="2819" width="5.6640625" style="3006" customWidth="1"/>
    <col min="2820" max="2820" width="21.6640625" style="3006" customWidth="1"/>
    <col min="2821" max="2821" width="11.6640625" style="3006" customWidth="1"/>
    <col min="2822" max="2822" width="18.21875" style="3006" customWidth="1"/>
    <col min="2823" max="2823" width="11.44140625" style="3006" customWidth="1"/>
    <col min="2824" max="2824" width="23.6640625" style="3006" customWidth="1"/>
    <col min="2825" max="2825" width="19.77734375" style="3006" customWidth="1"/>
    <col min="2826" max="2826" width="12.6640625" style="3006" bestFit="1" customWidth="1"/>
    <col min="2827" max="3073" width="9" style="3006"/>
    <col min="3074" max="3074" width="13" style="3006" customWidth="1"/>
    <col min="3075" max="3075" width="5.6640625" style="3006" customWidth="1"/>
    <col min="3076" max="3076" width="21.6640625" style="3006" customWidth="1"/>
    <col min="3077" max="3077" width="11.6640625" style="3006" customWidth="1"/>
    <col min="3078" max="3078" width="18.21875" style="3006" customWidth="1"/>
    <col min="3079" max="3079" width="11.44140625" style="3006" customWidth="1"/>
    <col min="3080" max="3080" width="23.6640625" style="3006" customWidth="1"/>
    <col min="3081" max="3081" width="19.77734375" style="3006" customWidth="1"/>
    <col min="3082" max="3082" width="12.6640625" style="3006" bestFit="1" customWidth="1"/>
    <col min="3083" max="3329" width="9" style="3006"/>
    <col min="3330" max="3330" width="13" style="3006" customWidth="1"/>
    <col min="3331" max="3331" width="5.6640625" style="3006" customWidth="1"/>
    <col min="3332" max="3332" width="21.6640625" style="3006" customWidth="1"/>
    <col min="3333" max="3333" width="11.6640625" style="3006" customWidth="1"/>
    <col min="3334" max="3334" width="18.21875" style="3006" customWidth="1"/>
    <col min="3335" max="3335" width="11.44140625" style="3006" customWidth="1"/>
    <col min="3336" max="3336" width="23.6640625" style="3006" customWidth="1"/>
    <col min="3337" max="3337" width="19.77734375" style="3006" customWidth="1"/>
    <col min="3338" max="3338" width="12.6640625" style="3006" bestFit="1" customWidth="1"/>
    <col min="3339" max="3585" width="9" style="3006"/>
    <col min="3586" max="3586" width="13" style="3006" customWidth="1"/>
    <col min="3587" max="3587" width="5.6640625" style="3006" customWidth="1"/>
    <col min="3588" max="3588" width="21.6640625" style="3006" customWidth="1"/>
    <col min="3589" max="3589" width="11.6640625" style="3006" customWidth="1"/>
    <col min="3590" max="3590" width="18.21875" style="3006" customWidth="1"/>
    <col min="3591" max="3591" width="11.44140625" style="3006" customWidth="1"/>
    <col min="3592" max="3592" width="23.6640625" style="3006" customWidth="1"/>
    <col min="3593" max="3593" width="19.77734375" style="3006" customWidth="1"/>
    <col min="3594" max="3594" width="12.6640625" style="3006" bestFit="1" customWidth="1"/>
    <col min="3595" max="3841" width="9" style="3006"/>
    <col min="3842" max="3842" width="13" style="3006" customWidth="1"/>
    <col min="3843" max="3843" width="5.6640625" style="3006" customWidth="1"/>
    <col min="3844" max="3844" width="21.6640625" style="3006" customWidth="1"/>
    <col min="3845" max="3845" width="11.6640625" style="3006" customWidth="1"/>
    <col min="3846" max="3846" width="18.21875" style="3006" customWidth="1"/>
    <col min="3847" max="3847" width="11.44140625" style="3006" customWidth="1"/>
    <col min="3848" max="3848" width="23.6640625" style="3006" customWidth="1"/>
    <col min="3849" max="3849" width="19.77734375" style="3006" customWidth="1"/>
    <col min="3850" max="3850" width="12.6640625" style="3006" bestFit="1" customWidth="1"/>
    <col min="3851" max="4097" width="9" style="3006"/>
    <col min="4098" max="4098" width="13" style="3006" customWidth="1"/>
    <col min="4099" max="4099" width="5.6640625" style="3006" customWidth="1"/>
    <col min="4100" max="4100" width="21.6640625" style="3006" customWidth="1"/>
    <col min="4101" max="4101" width="11.6640625" style="3006" customWidth="1"/>
    <col min="4102" max="4102" width="18.21875" style="3006" customWidth="1"/>
    <col min="4103" max="4103" width="11.44140625" style="3006" customWidth="1"/>
    <col min="4104" max="4104" width="23.6640625" style="3006" customWidth="1"/>
    <col min="4105" max="4105" width="19.77734375" style="3006" customWidth="1"/>
    <col min="4106" max="4106" width="12.6640625" style="3006" bestFit="1" customWidth="1"/>
    <col min="4107" max="4353" width="9" style="3006"/>
    <col min="4354" max="4354" width="13" style="3006" customWidth="1"/>
    <col min="4355" max="4355" width="5.6640625" style="3006" customWidth="1"/>
    <col min="4356" max="4356" width="21.6640625" style="3006" customWidth="1"/>
    <col min="4357" max="4357" width="11.6640625" style="3006" customWidth="1"/>
    <col min="4358" max="4358" width="18.21875" style="3006" customWidth="1"/>
    <col min="4359" max="4359" width="11.44140625" style="3006" customWidth="1"/>
    <col min="4360" max="4360" width="23.6640625" style="3006" customWidth="1"/>
    <col min="4361" max="4361" width="19.77734375" style="3006" customWidth="1"/>
    <col min="4362" max="4362" width="12.6640625" style="3006" bestFit="1" customWidth="1"/>
    <col min="4363" max="4609" width="9" style="3006"/>
    <col min="4610" max="4610" width="13" style="3006" customWidth="1"/>
    <col min="4611" max="4611" width="5.6640625" style="3006" customWidth="1"/>
    <col min="4612" max="4612" width="21.6640625" style="3006" customWidth="1"/>
    <col min="4613" max="4613" width="11.6640625" style="3006" customWidth="1"/>
    <col min="4614" max="4614" width="18.21875" style="3006" customWidth="1"/>
    <col min="4615" max="4615" width="11.44140625" style="3006" customWidth="1"/>
    <col min="4616" max="4616" width="23.6640625" style="3006" customWidth="1"/>
    <col min="4617" max="4617" width="19.77734375" style="3006" customWidth="1"/>
    <col min="4618" max="4618" width="12.6640625" style="3006" bestFit="1" customWidth="1"/>
    <col min="4619" max="4865" width="9" style="3006"/>
    <col min="4866" max="4866" width="13" style="3006" customWidth="1"/>
    <col min="4867" max="4867" width="5.6640625" style="3006" customWidth="1"/>
    <col min="4868" max="4868" width="21.6640625" style="3006" customWidth="1"/>
    <col min="4869" max="4869" width="11.6640625" style="3006" customWidth="1"/>
    <col min="4870" max="4870" width="18.21875" style="3006" customWidth="1"/>
    <col min="4871" max="4871" width="11.44140625" style="3006" customWidth="1"/>
    <col min="4872" max="4872" width="23.6640625" style="3006" customWidth="1"/>
    <col min="4873" max="4873" width="19.77734375" style="3006" customWidth="1"/>
    <col min="4874" max="4874" width="12.6640625" style="3006" bestFit="1" customWidth="1"/>
    <col min="4875" max="5121" width="9" style="3006"/>
    <col min="5122" max="5122" width="13" style="3006" customWidth="1"/>
    <col min="5123" max="5123" width="5.6640625" style="3006" customWidth="1"/>
    <col min="5124" max="5124" width="21.6640625" style="3006" customWidth="1"/>
    <col min="5125" max="5125" width="11.6640625" style="3006" customWidth="1"/>
    <col min="5126" max="5126" width="18.21875" style="3006" customWidth="1"/>
    <col min="5127" max="5127" width="11.44140625" style="3006" customWidth="1"/>
    <col min="5128" max="5128" width="23.6640625" style="3006" customWidth="1"/>
    <col min="5129" max="5129" width="19.77734375" style="3006" customWidth="1"/>
    <col min="5130" max="5130" width="12.6640625" style="3006" bestFit="1" customWidth="1"/>
    <col min="5131" max="5377" width="9" style="3006"/>
    <col min="5378" max="5378" width="13" style="3006" customWidth="1"/>
    <col min="5379" max="5379" width="5.6640625" style="3006" customWidth="1"/>
    <col min="5380" max="5380" width="21.6640625" style="3006" customWidth="1"/>
    <col min="5381" max="5381" width="11.6640625" style="3006" customWidth="1"/>
    <col min="5382" max="5382" width="18.21875" style="3006" customWidth="1"/>
    <col min="5383" max="5383" width="11.44140625" style="3006" customWidth="1"/>
    <col min="5384" max="5384" width="23.6640625" style="3006" customWidth="1"/>
    <col min="5385" max="5385" width="19.77734375" style="3006" customWidth="1"/>
    <col min="5386" max="5386" width="12.6640625" style="3006" bestFit="1" customWidth="1"/>
    <col min="5387" max="5633" width="9" style="3006"/>
    <col min="5634" max="5634" width="13" style="3006" customWidth="1"/>
    <col min="5635" max="5635" width="5.6640625" style="3006" customWidth="1"/>
    <col min="5636" max="5636" width="21.6640625" style="3006" customWidth="1"/>
    <col min="5637" max="5637" width="11.6640625" style="3006" customWidth="1"/>
    <col min="5638" max="5638" width="18.21875" style="3006" customWidth="1"/>
    <col min="5639" max="5639" width="11.44140625" style="3006" customWidth="1"/>
    <col min="5640" max="5640" width="23.6640625" style="3006" customWidth="1"/>
    <col min="5641" max="5641" width="19.77734375" style="3006" customWidth="1"/>
    <col min="5642" max="5642" width="12.6640625" style="3006" bestFit="1" customWidth="1"/>
    <col min="5643" max="5889" width="9" style="3006"/>
    <col min="5890" max="5890" width="13" style="3006" customWidth="1"/>
    <col min="5891" max="5891" width="5.6640625" style="3006" customWidth="1"/>
    <col min="5892" max="5892" width="21.6640625" style="3006" customWidth="1"/>
    <col min="5893" max="5893" width="11.6640625" style="3006" customWidth="1"/>
    <col min="5894" max="5894" width="18.21875" style="3006" customWidth="1"/>
    <col min="5895" max="5895" width="11.44140625" style="3006" customWidth="1"/>
    <col min="5896" max="5896" width="23.6640625" style="3006" customWidth="1"/>
    <col min="5897" max="5897" width="19.77734375" style="3006" customWidth="1"/>
    <col min="5898" max="5898" width="12.6640625" style="3006" bestFit="1" customWidth="1"/>
    <col min="5899" max="6145" width="9" style="3006"/>
    <col min="6146" max="6146" width="13" style="3006" customWidth="1"/>
    <col min="6147" max="6147" width="5.6640625" style="3006" customWidth="1"/>
    <col min="6148" max="6148" width="21.6640625" style="3006" customWidth="1"/>
    <col min="6149" max="6149" width="11.6640625" style="3006" customWidth="1"/>
    <col min="6150" max="6150" width="18.21875" style="3006" customWidth="1"/>
    <col min="6151" max="6151" width="11.44140625" style="3006" customWidth="1"/>
    <col min="6152" max="6152" width="23.6640625" style="3006" customWidth="1"/>
    <col min="6153" max="6153" width="19.77734375" style="3006" customWidth="1"/>
    <col min="6154" max="6154" width="12.6640625" style="3006" bestFit="1" customWidth="1"/>
    <col min="6155" max="6401" width="9" style="3006"/>
    <col min="6402" max="6402" width="13" style="3006" customWidth="1"/>
    <col min="6403" max="6403" width="5.6640625" style="3006" customWidth="1"/>
    <col min="6404" max="6404" width="21.6640625" style="3006" customWidth="1"/>
    <col min="6405" max="6405" width="11.6640625" style="3006" customWidth="1"/>
    <col min="6406" max="6406" width="18.21875" style="3006" customWidth="1"/>
    <col min="6407" max="6407" width="11.44140625" style="3006" customWidth="1"/>
    <col min="6408" max="6408" width="23.6640625" style="3006" customWidth="1"/>
    <col min="6409" max="6409" width="19.77734375" style="3006" customWidth="1"/>
    <col min="6410" max="6410" width="12.6640625" style="3006" bestFit="1" customWidth="1"/>
    <col min="6411" max="6657" width="9" style="3006"/>
    <col min="6658" max="6658" width="13" style="3006" customWidth="1"/>
    <col min="6659" max="6659" width="5.6640625" style="3006" customWidth="1"/>
    <col min="6660" max="6660" width="21.6640625" style="3006" customWidth="1"/>
    <col min="6661" max="6661" width="11.6640625" style="3006" customWidth="1"/>
    <col min="6662" max="6662" width="18.21875" style="3006" customWidth="1"/>
    <col min="6663" max="6663" width="11.44140625" style="3006" customWidth="1"/>
    <col min="6664" max="6664" width="23.6640625" style="3006" customWidth="1"/>
    <col min="6665" max="6665" width="19.77734375" style="3006" customWidth="1"/>
    <col min="6666" max="6666" width="12.6640625" style="3006" bestFit="1" customWidth="1"/>
    <col min="6667" max="6913" width="9" style="3006"/>
    <col min="6914" max="6914" width="13" style="3006" customWidth="1"/>
    <col min="6915" max="6915" width="5.6640625" style="3006" customWidth="1"/>
    <col min="6916" max="6916" width="21.6640625" style="3006" customWidth="1"/>
    <col min="6917" max="6917" width="11.6640625" style="3006" customWidth="1"/>
    <col min="6918" max="6918" width="18.21875" style="3006" customWidth="1"/>
    <col min="6919" max="6919" width="11.44140625" style="3006" customWidth="1"/>
    <col min="6920" max="6920" width="23.6640625" style="3006" customWidth="1"/>
    <col min="6921" max="6921" width="19.77734375" style="3006" customWidth="1"/>
    <col min="6922" max="6922" width="12.6640625" style="3006" bestFit="1" customWidth="1"/>
    <col min="6923" max="7169" width="9" style="3006"/>
    <col min="7170" max="7170" width="13" style="3006" customWidth="1"/>
    <col min="7171" max="7171" width="5.6640625" style="3006" customWidth="1"/>
    <col min="7172" max="7172" width="21.6640625" style="3006" customWidth="1"/>
    <col min="7173" max="7173" width="11.6640625" style="3006" customWidth="1"/>
    <col min="7174" max="7174" width="18.21875" style="3006" customWidth="1"/>
    <col min="7175" max="7175" width="11.44140625" style="3006" customWidth="1"/>
    <col min="7176" max="7176" width="23.6640625" style="3006" customWidth="1"/>
    <col min="7177" max="7177" width="19.77734375" style="3006" customWidth="1"/>
    <col min="7178" max="7178" width="12.6640625" style="3006" bestFit="1" customWidth="1"/>
    <col min="7179" max="7425" width="9" style="3006"/>
    <col min="7426" max="7426" width="13" style="3006" customWidth="1"/>
    <col min="7427" max="7427" width="5.6640625" style="3006" customWidth="1"/>
    <col min="7428" max="7428" width="21.6640625" style="3006" customWidth="1"/>
    <col min="7429" max="7429" width="11.6640625" style="3006" customWidth="1"/>
    <col min="7430" max="7430" width="18.21875" style="3006" customWidth="1"/>
    <col min="7431" max="7431" width="11.44140625" style="3006" customWidth="1"/>
    <col min="7432" max="7432" width="23.6640625" style="3006" customWidth="1"/>
    <col min="7433" max="7433" width="19.77734375" style="3006" customWidth="1"/>
    <col min="7434" max="7434" width="12.6640625" style="3006" bestFit="1" customWidth="1"/>
    <col min="7435" max="7681" width="9" style="3006"/>
    <col min="7682" max="7682" width="13" style="3006" customWidth="1"/>
    <col min="7683" max="7683" width="5.6640625" style="3006" customWidth="1"/>
    <col min="7684" max="7684" width="21.6640625" style="3006" customWidth="1"/>
    <col min="7685" max="7685" width="11.6640625" style="3006" customWidth="1"/>
    <col min="7686" max="7686" width="18.21875" style="3006" customWidth="1"/>
    <col min="7687" max="7687" width="11.44140625" style="3006" customWidth="1"/>
    <col min="7688" max="7688" width="23.6640625" style="3006" customWidth="1"/>
    <col min="7689" max="7689" width="19.77734375" style="3006" customWidth="1"/>
    <col min="7690" max="7690" width="12.6640625" style="3006" bestFit="1" customWidth="1"/>
    <col min="7691" max="7937" width="9" style="3006"/>
    <col min="7938" max="7938" width="13" style="3006" customWidth="1"/>
    <col min="7939" max="7939" width="5.6640625" style="3006" customWidth="1"/>
    <col min="7940" max="7940" width="21.6640625" style="3006" customWidth="1"/>
    <col min="7941" max="7941" width="11.6640625" style="3006" customWidth="1"/>
    <col min="7942" max="7942" width="18.21875" style="3006" customWidth="1"/>
    <col min="7943" max="7943" width="11.44140625" style="3006" customWidth="1"/>
    <col min="7944" max="7944" width="23.6640625" style="3006" customWidth="1"/>
    <col min="7945" max="7945" width="19.77734375" style="3006" customWidth="1"/>
    <col min="7946" max="7946" width="12.6640625" style="3006" bestFit="1" customWidth="1"/>
    <col min="7947" max="8193" width="9" style="3006"/>
    <col min="8194" max="8194" width="13" style="3006" customWidth="1"/>
    <col min="8195" max="8195" width="5.6640625" style="3006" customWidth="1"/>
    <col min="8196" max="8196" width="21.6640625" style="3006" customWidth="1"/>
    <col min="8197" max="8197" width="11.6640625" style="3006" customWidth="1"/>
    <col min="8198" max="8198" width="18.21875" style="3006" customWidth="1"/>
    <col min="8199" max="8199" width="11.44140625" style="3006" customWidth="1"/>
    <col min="8200" max="8200" width="23.6640625" style="3006" customWidth="1"/>
    <col min="8201" max="8201" width="19.77734375" style="3006" customWidth="1"/>
    <col min="8202" max="8202" width="12.6640625" style="3006" bestFit="1" customWidth="1"/>
    <col min="8203" max="8449" width="9" style="3006"/>
    <col min="8450" max="8450" width="13" style="3006" customWidth="1"/>
    <col min="8451" max="8451" width="5.6640625" style="3006" customWidth="1"/>
    <col min="8452" max="8452" width="21.6640625" style="3006" customWidth="1"/>
    <col min="8453" max="8453" width="11.6640625" style="3006" customWidth="1"/>
    <col min="8454" max="8454" width="18.21875" style="3006" customWidth="1"/>
    <col min="8455" max="8455" width="11.44140625" style="3006" customWidth="1"/>
    <col min="8456" max="8456" width="23.6640625" style="3006" customWidth="1"/>
    <col min="8457" max="8457" width="19.77734375" style="3006" customWidth="1"/>
    <col min="8458" max="8458" width="12.6640625" style="3006" bestFit="1" customWidth="1"/>
    <col min="8459" max="8705" width="9" style="3006"/>
    <col min="8706" max="8706" width="13" style="3006" customWidth="1"/>
    <col min="8707" max="8707" width="5.6640625" style="3006" customWidth="1"/>
    <col min="8708" max="8708" width="21.6640625" style="3006" customWidth="1"/>
    <col min="8709" max="8709" width="11.6640625" style="3006" customWidth="1"/>
    <col min="8710" max="8710" width="18.21875" style="3006" customWidth="1"/>
    <col min="8711" max="8711" width="11.44140625" style="3006" customWidth="1"/>
    <col min="8712" max="8712" width="23.6640625" style="3006" customWidth="1"/>
    <col min="8713" max="8713" width="19.77734375" style="3006" customWidth="1"/>
    <col min="8714" max="8714" width="12.6640625" style="3006" bestFit="1" customWidth="1"/>
    <col min="8715" max="8961" width="9" style="3006"/>
    <col min="8962" max="8962" width="13" style="3006" customWidth="1"/>
    <col min="8963" max="8963" width="5.6640625" style="3006" customWidth="1"/>
    <col min="8964" max="8964" width="21.6640625" style="3006" customWidth="1"/>
    <col min="8965" max="8965" width="11.6640625" style="3006" customWidth="1"/>
    <col min="8966" max="8966" width="18.21875" style="3006" customWidth="1"/>
    <col min="8967" max="8967" width="11.44140625" style="3006" customWidth="1"/>
    <col min="8968" max="8968" width="23.6640625" style="3006" customWidth="1"/>
    <col min="8969" max="8969" width="19.77734375" style="3006" customWidth="1"/>
    <col min="8970" max="8970" width="12.6640625" style="3006" bestFit="1" customWidth="1"/>
    <col min="8971" max="9217" width="9" style="3006"/>
    <col min="9218" max="9218" width="13" style="3006" customWidth="1"/>
    <col min="9219" max="9219" width="5.6640625" style="3006" customWidth="1"/>
    <col min="9220" max="9220" width="21.6640625" style="3006" customWidth="1"/>
    <col min="9221" max="9221" width="11.6640625" style="3006" customWidth="1"/>
    <col min="9222" max="9222" width="18.21875" style="3006" customWidth="1"/>
    <col min="9223" max="9223" width="11.44140625" style="3006" customWidth="1"/>
    <col min="9224" max="9224" width="23.6640625" style="3006" customWidth="1"/>
    <col min="9225" max="9225" width="19.77734375" style="3006" customWidth="1"/>
    <col min="9226" max="9226" width="12.6640625" style="3006" bestFit="1" customWidth="1"/>
    <col min="9227" max="9473" width="9" style="3006"/>
    <col min="9474" max="9474" width="13" style="3006" customWidth="1"/>
    <col min="9475" max="9475" width="5.6640625" style="3006" customWidth="1"/>
    <col min="9476" max="9476" width="21.6640625" style="3006" customWidth="1"/>
    <col min="9477" max="9477" width="11.6640625" style="3006" customWidth="1"/>
    <col min="9478" max="9478" width="18.21875" style="3006" customWidth="1"/>
    <col min="9479" max="9479" width="11.44140625" style="3006" customWidth="1"/>
    <col min="9480" max="9480" width="23.6640625" style="3006" customWidth="1"/>
    <col min="9481" max="9481" width="19.77734375" style="3006" customWidth="1"/>
    <col min="9482" max="9482" width="12.6640625" style="3006" bestFit="1" customWidth="1"/>
    <col min="9483" max="9729" width="9" style="3006"/>
    <col min="9730" max="9730" width="13" style="3006" customWidth="1"/>
    <col min="9731" max="9731" width="5.6640625" style="3006" customWidth="1"/>
    <col min="9732" max="9732" width="21.6640625" style="3006" customWidth="1"/>
    <col min="9733" max="9733" width="11.6640625" style="3006" customWidth="1"/>
    <col min="9734" max="9734" width="18.21875" style="3006" customWidth="1"/>
    <col min="9735" max="9735" width="11.44140625" style="3006" customWidth="1"/>
    <col min="9736" max="9736" width="23.6640625" style="3006" customWidth="1"/>
    <col min="9737" max="9737" width="19.77734375" style="3006" customWidth="1"/>
    <col min="9738" max="9738" width="12.6640625" style="3006" bestFit="1" customWidth="1"/>
    <col min="9739" max="9985" width="9" style="3006"/>
    <col min="9986" max="9986" width="13" style="3006" customWidth="1"/>
    <col min="9987" max="9987" width="5.6640625" style="3006" customWidth="1"/>
    <col min="9988" max="9988" width="21.6640625" style="3006" customWidth="1"/>
    <col min="9989" max="9989" width="11.6640625" style="3006" customWidth="1"/>
    <col min="9990" max="9990" width="18.21875" style="3006" customWidth="1"/>
    <col min="9991" max="9991" width="11.44140625" style="3006" customWidth="1"/>
    <col min="9992" max="9992" width="23.6640625" style="3006" customWidth="1"/>
    <col min="9993" max="9993" width="19.77734375" style="3006" customWidth="1"/>
    <col min="9994" max="9994" width="12.6640625" style="3006" bestFit="1" customWidth="1"/>
    <col min="9995" max="10241" width="9" style="3006"/>
    <col min="10242" max="10242" width="13" style="3006" customWidth="1"/>
    <col min="10243" max="10243" width="5.6640625" style="3006" customWidth="1"/>
    <col min="10244" max="10244" width="21.6640625" style="3006" customWidth="1"/>
    <col min="10245" max="10245" width="11.6640625" style="3006" customWidth="1"/>
    <col min="10246" max="10246" width="18.21875" style="3006" customWidth="1"/>
    <col min="10247" max="10247" width="11.44140625" style="3006" customWidth="1"/>
    <col min="10248" max="10248" width="23.6640625" style="3006" customWidth="1"/>
    <col min="10249" max="10249" width="19.77734375" style="3006" customWidth="1"/>
    <col min="10250" max="10250" width="12.6640625" style="3006" bestFit="1" customWidth="1"/>
    <col min="10251" max="10497" width="9" style="3006"/>
    <col min="10498" max="10498" width="13" style="3006" customWidth="1"/>
    <col min="10499" max="10499" width="5.6640625" style="3006" customWidth="1"/>
    <col min="10500" max="10500" width="21.6640625" style="3006" customWidth="1"/>
    <col min="10501" max="10501" width="11.6640625" style="3006" customWidth="1"/>
    <col min="10502" max="10502" width="18.21875" style="3006" customWidth="1"/>
    <col min="10503" max="10503" width="11.44140625" style="3006" customWidth="1"/>
    <col min="10504" max="10504" width="23.6640625" style="3006" customWidth="1"/>
    <col min="10505" max="10505" width="19.77734375" style="3006" customWidth="1"/>
    <col min="10506" max="10506" width="12.6640625" style="3006" bestFit="1" customWidth="1"/>
    <col min="10507" max="10753" width="9" style="3006"/>
    <col min="10754" max="10754" width="13" style="3006" customWidth="1"/>
    <col min="10755" max="10755" width="5.6640625" style="3006" customWidth="1"/>
    <col min="10756" max="10756" width="21.6640625" style="3006" customWidth="1"/>
    <col min="10757" max="10757" width="11.6640625" style="3006" customWidth="1"/>
    <col min="10758" max="10758" width="18.21875" style="3006" customWidth="1"/>
    <col min="10759" max="10759" width="11.44140625" style="3006" customWidth="1"/>
    <col min="10760" max="10760" width="23.6640625" style="3006" customWidth="1"/>
    <col min="10761" max="10761" width="19.77734375" style="3006" customWidth="1"/>
    <col min="10762" max="10762" width="12.6640625" style="3006" bestFit="1" customWidth="1"/>
    <col min="10763" max="11009" width="9" style="3006"/>
    <col min="11010" max="11010" width="13" style="3006" customWidth="1"/>
    <col min="11011" max="11011" width="5.6640625" style="3006" customWidth="1"/>
    <col min="11012" max="11012" width="21.6640625" style="3006" customWidth="1"/>
    <col min="11013" max="11013" width="11.6640625" style="3006" customWidth="1"/>
    <col min="11014" max="11014" width="18.21875" style="3006" customWidth="1"/>
    <col min="11015" max="11015" width="11.44140625" style="3006" customWidth="1"/>
    <col min="11016" max="11016" width="23.6640625" style="3006" customWidth="1"/>
    <col min="11017" max="11017" width="19.77734375" style="3006" customWidth="1"/>
    <col min="11018" max="11018" width="12.6640625" style="3006" bestFit="1" customWidth="1"/>
    <col min="11019" max="11265" width="9" style="3006"/>
    <col min="11266" max="11266" width="13" style="3006" customWidth="1"/>
    <col min="11267" max="11267" width="5.6640625" style="3006" customWidth="1"/>
    <col min="11268" max="11268" width="21.6640625" style="3006" customWidth="1"/>
    <col min="11269" max="11269" width="11.6640625" style="3006" customWidth="1"/>
    <col min="11270" max="11270" width="18.21875" style="3006" customWidth="1"/>
    <col min="11271" max="11271" width="11.44140625" style="3006" customWidth="1"/>
    <col min="11272" max="11272" width="23.6640625" style="3006" customWidth="1"/>
    <col min="11273" max="11273" width="19.77734375" style="3006" customWidth="1"/>
    <col min="11274" max="11274" width="12.6640625" style="3006" bestFit="1" customWidth="1"/>
    <col min="11275" max="11521" width="9" style="3006"/>
    <col min="11522" max="11522" width="13" style="3006" customWidth="1"/>
    <col min="11523" max="11523" width="5.6640625" style="3006" customWidth="1"/>
    <col min="11524" max="11524" width="21.6640625" style="3006" customWidth="1"/>
    <col min="11525" max="11525" width="11.6640625" style="3006" customWidth="1"/>
    <col min="11526" max="11526" width="18.21875" style="3006" customWidth="1"/>
    <col min="11527" max="11527" width="11.44140625" style="3006" customWidth="1"/>
    <col min="11528" max="11528" width="23.6640625" style="3006" customWidth="1"/>
    <col min="11529" max="11529" width="19.77734375" style="3006" customWidth="1"/>
    <col min="11530" max="11530" width="12.6640625" style="3006" bestFit="1" customWidth="1"/>
    <col min="11531" max="11777" width="9" style="3006"/>
    <col min="11778" max="11778" width="13" style="3006" customWidth="1"/>
    <col min="11779" max="11779" width="5.6640625" style="3006" customWidth="1"/>
    <col min="11780" max="11780" width="21.6640625" style="3006" customWidth="1"/>
    <col min="11781" max="11781" width="11.6640625" style="3006" customWidth="1"/>
    <col min="11782" max="11782" width="18.21875" style="3006" customWidth="1"/>
    <col min="11783" max="11783" width="11.44140625" style="3006" customWidth="1"/>
    <col min="11784" max="11784" width="23.6640625" style="3006" customWidth="1"/>
    <col min="11785" max="11785" width="19.77734375" style="3006" customWidth="1"/>
    <col min="11786" max="11786" width="12.6640625" style="3006" bestFit="1" customWidth="1"/>
    <col min="11787" max="12033" width="9" style="3006"/>
    <col min="12034" max="12034" width="13" style="3006" customWidth="1"/>
    <col min="12035" max="12035" width="5.6640625" style="3006" customWidth="1"/>
    <col min="12036" max="12036" width="21.6640625" style="3006" customWidth="1"/>
    <col min="12037" max="12037" width="11.6640625" style="3006" customWidth="1"/>
    <col min="12038" max="12038" width="18.21875" style="3006" customWidth="1"/>
    <col min="12039" max="12039" width="11.44140625" style="3006" customWidth="1"/>
    <col min="12040" max="12040" width="23.6640625" style="3006" customWidth="1"/>
    <col min="12041" max="12041" width="19.77734375" style="3006" customWidth="1"/>
    <col min="12042" max="12042" width="12.6640625" style="3006" bestFit="1" customWidth="1"/>
    <col min="12043" max="12289" width="9" style="3006"/>
    <col min="12290" max="12290" width="13" style="3006" customWidth="1"/>
    <col min="12291" max="12291" width="5.6640625" style="3006" customWidth="1"/>
    <col min="12292" max="12292" width="21.6640625" style="3006" customWidth="1"/>
    <col min="12293" max="12293" width="11.6640625" style="3006" customWidth="1"/>
    <col min="12294" max="12294" width="18.21875" style="3006" customWidth="1"/>
    <col min="12295" max="12295" width="11.44140625" style="3006" customWidth="1"/>
    <col min="12296" max="12296" width="23.6640625" style="3006" customWidth="1"/>
    <col min="12297" max="12297" width="19.77734375" style="3006" customWidth="1"/>
    <col min="12298" max="12298" width="12.6640625" style="3006" bestFit="1" customWidth="1"/>
    <col min="12299" max="12545" width="9" style="3006"/>
    <col min="12546" max="12546" width="13" style="3006" customWidth="1"/>
    <col min="12547" max="12547" width="5.6640625" style="3006" customWidth="1"/>
    <col min="12548" max="12548" width="21.6640625" style="3006" customWidth="1"/>
    <col min="12549" max="12549" width="11.6640625" style="3006" customWidth="1"/>
    <col min="12550" max="12550" width="18.21875" style="3006" customWidth="1"/>
    <col min="12551" max="12551" width="11.44140625" style="3006" customWidth="1"/>
    <col min="12552" max="12552" width="23.6640625" style="3006" customWidth="1"/>
    <col min="12553" max="12553" width="19.77734375" style="3006" customWidth="1"/>
    <col min="12554" max="12554" width="12.6640625" style="3006" bestFit="1" customWidth="1"/>
    <col min="12555" max="12801" width="9" style="3006"/>
    <col min="12802" max="12802" width="13" style="3006" customWidth="1"/>
    <col min="12803" max="12803" width="5.6640625" style="3006" customWidth="1"/>
    <col min="12804" max="12804" width="21.6640625" style="3006" customWidth="1"/>
    <col min="12805" max="12805" width="11.6640625" style="3006" customWidth="1"/>
    <col min="12806" max="12806" width="18.21875" style="3006" customWidth="1"/>
    <col min="12807" max="12807" width="11.44140625" style="3006" customWidth="1"/>
    <col min="12808" max="12808" width="23.6640625" style="3006" customWidth="1"/>
    <col min="12809" max="12809" width="19.77734375" style="3006" customWidth="1"/>
    <col min="12810" max="12810" width="12.6640625" style="3006" bestFit="1" customWidth="1"/>
    <col min="12811" max="13057" width="9" style="3006"/>
    <col min="13058" max="13058" width="13" style="3006" customWidth="1"/>
    <col min="13059" max="13059" width="5.6640625" style="3006" customWidth="1"/>
    <col min="13060" max="13060" width="21.6640625" style="3006" customWidth="1"/>
    <col min="13061" max="13061" width="11.6640625" style="3006" customWidth="1"/>
    <col min="13062" max="13062" width="18.21875" style="3006" customWidth="1"/>
    <col min="13063" max="13063" width="11.44140625" style="3006" customWidth="1"/>
    <col min="13064" max="13064" width="23.6640625" style="3006" customWidth="1"/>
    <col min="13065" max="13065" width="19.77734375" style="3006" customWidth="1"/>
    <col min="13066" max="13066" width="12.6640625" style="3006" bestFit="1" customWidth="1"/>
    <col min="13067" max="13313" width="9" style="3006"/>
    <col min="13314" max="13314" width="13" style="3006" customWidth="1"/>
    <col min="13315" max="13315" width="5.6640625" style="3006" customWidth="1"/>
    <col min="13316" max="13316" width="21.6640625" style="3006" customWidth="1"/>
    <col min="13317" max="13317" width="11.6640625" style="3006" customWidth="1"/>
    <col min="13318" max="13318" width="18.21875" style="3006" customWidth="1"/>
    <col min="13319" max="13319" width="11.44140625" style="3006" customWidth="1"/>
    <col min="13320" max="13320" width="23.6640625" style="3006" customWidth="1"/>
    <col min="13321" max="13321" width="19.77734375" style="3006" customWidth="1"/>
    <col min="13322" max="13322" width="12.6640625" style="3006" bestFit="1" customWidth="1"/>
    <col min="13323" max="13569" width="9" style="3006"/>
    <col min="13570" max="13570" width="13" style="3006" customWidth="1"/>
    <col min="13571" max="13571" width="5.6640625" style="3006" customWidth="1"/>
    <col min="13572" max="13572" width="21.6640625" style="3006" customWidth="1"/>
    <col min="13573" max="13573" width="11.6640625" style="3006" customWidth="1"/>
    <col min="13574" max="13574" width="18.21875" style="3006" customWidth="1"/>
    <col min="13575" max="13575" width="11.44140625" style="3006" customWidth="1"/>
    <col min="13576" max="13576" width="23.6640625" style="3006" customWidth="1"/>
    <col min="13577" max="13577" width="19.77734375" style="3006" customWidth="1"/>
    <col min="13578" max="13578" width="12.6640625" style="3006" bestFit="1" customWidth="1"/>
    <col min="13579" max="13825" width="9" style="3006"/>
    <col min="13826" max="13826" width="13" style="3006" customWidth="1"/>
    <col min="13827" max="13827" width="5.6640625" style="3006" customWidth="1"/>
    <col min="13828" max="13828" width="21.6640625" style="3006" customWidth="1"/>
    <col min="13829" max="13829" width="11.6640625" style="3006" customWidth="1"/>
    <col min="13830" max="13830" width="18.21875" style="3006" customWidth="1"/>
    <col min="13831" max="13831" width="11.44140625" style="3006" customWidth="1"/>
    <col min="13832" max="13832" width="23.6640625" style="3006" customWidth="1"/>
    <col min="13833" max="13833" width="19.77734375" style="3006" customWidth="1"/>
    <col min="13834" max="13834" width="12.6640625" style="3006" bestFit="1" customWidth="1"/>
    <col min="13835" max="14081" width="9" style="3006"/>
    <col min="14082" max="14082" width="13" style="3006" customWidth="1"/>
    <col min="14083" max="14083" width="5.6640625" style="3006" customWidth="1"/>
    <col min="14084" max="14084" width="21.6640625" style="3006" customWidth="1"/>
    <col min="14085" max="14085" width="11.6640625" style="3006" customWidth="1"/>
    <col min="14086" max="14086" width="18.21875" style="3006" customWidth="1"/>
    <col min="14087" max="14087" width="11.44140625" style="3006" customWidth="1"/>
    <col min="14088" max="14088" width="23.6640625" style="3006" customWidth="1"/>
    <col min="14089" max="14089" width="19.77734375" style="3006" customWidth="1"/>
    <col min="14090" max="14090" width="12.6640625" style="3006" bestFit="1" customWidth="1"/>
    <col min="14091" max="14337" width="9" style="3006"/>
    <col min="14338" max="14338" width="13" style="3006" customWidth="1"/>
    <col min="14339" max="14339" width="5.6640625" style="3006" customWidth="1"/>
    <col min="14340" max="14340" width="21.6640625" style="3006" customWidth="1"/>
    <col min="14341" max="14341" width="11.6640625" style="3006" customWidth="1"/>
    <col min="14342" max="14342" width="18.21875" style="3006" customWidth="1"/>
    <col min="14343" max="14343" width="11.44140625" style="3006" customWidth="1"/>
    <col min="14344" max="14344" width="23.6640625" style="3006" customWidth="1"/>
    <col min="14345" max="14345" width="19.77734375" style="3006" customWidth="1"/>
    <col min="14346" max="14346" width="12.6640625" style="3006" bestFit="1" customWidth="1"/>
    <col min="14347" max="14593" width="9" style="3006"/>
    <col min="14594" max="14594" width="13" style="3006" customWidth="1"/>
    <col min="14595" max="14595" width="5.6640625" style="3006" customWidth="1"/>
    <col min="14596" max="14596" width="21.6640625" style="3006" customWidth="1"/>
    <col min="14597" max="14597" width="11.6640625" style="3006" customWidth="1"/>
    <col min="14598" max="14598" width="18.21875" style="3006" customWidth="1"/>
    <col min="14599" max="14599" width="11.44140625" style="3006" customWidth="1"/>
    <col min="14600" max="14600" width="23.6640625" style="3006" customWidth="1"/>
    <col min="14601" max="14601" width="19.77734375" style="3006" customWidth="1"/>
    <col min="14602" max="14602" width="12.6640625" style="3006" bestFit="1" customWidth="1"/>
    <col min="14603" max="14849" width="9" style="3006"/>
    <col min="14850" max="14850" width="13" style="3006" customWidth="1"/>
    <col min="14851" max="14851" width="5.6640625" style="3006" customWidth="1"/>
    <col min="14852" max="14852" width="21.6640625" style="3006" customWidth="1"/>
    <col min="14853" max="14853" width="11.6640625" style="3006" customWidth="1"/>
    <col min="14854" max="14854" width="18.21875" style="3006" customWidth="1"/>
    <col min="14855" max="14855" width="11.44140625" style="3006" customWidth="1"/>
    <col min="14856" max="14856" width="23.6640625" style="3006" customWidth="1"/>
    <col min="14857" max="14857" width="19.77734375" style="3006" customWidth="1"/>
    <col min="14858" max="14858" width="12.6640625" style="3006" bestFit="1" customWidth="1"/>
    <col min="14859" max="15105" width="9" style="3006"/>
    <col min="15106" max="15106" width="13" style="3006" customWidth="1"/>
    <col min="15107" max="15107" width="5.6640625" style="3006" customWidth="1"/>
    <col min="15108" max="15108" width="21.6640625" style="3006" customWidth="1"/>
    <col min="15109" max="15109" width="11.6640625" style="3006" customWidth="1"/>
    <col min="15110" max="15110" width="18.21875" style="3006" customWidth="1"/>
    <col min="15111" max="15111" width="11.44140625" style="3006" customWidth="1"/>
    <col min="15112" max="15112" width="23.6640625" style="3006" customWidth="1"/>
    <col min="15113" max="15113" width="19.77734375" style="3006" customWidth="1"/>
    <col min="15114" max="15114" width="12.6640625" style="3006" bestFit="1" customWidth="1"/>
    <col min="15115" max="15361" width="9" style="3006"/>
    <col min="15362" max="15362" width="13" style="3006" customWidth="1"/>
    <col min="15363" max="15363" width="5.6640625" style="3006" customWidth="1"/>
    <col min="15364" max="15364" width="21.6640625" style="3006" customWidth="1"/>
    <col min="15365" max="15365" width="11.6640625" style="3006" customWidth="1"/>
    <col min="15366" max="15366" width="18.21875" style="3006" customWidth="1"/>
    <col min="15367" max="15367" width="11.44140625" style="3006" customWidth="1"/>
    <col min="15368" max="15368" width="23.6640625" style="3006" customWidth="1"/>
    <col min="15369" max="15369" width="19.77734375" style="3006" customWidth="1"/>
    <col min="15370" max="15370" width="12.6640625" style="3006" bestFit="1" customWidth="1"/>
    <col min="15371" max="15617" width="9" style="3006"/>
    <col min="15618" max="15618" width="13" style="3006" customWidth="1"/>
    <col min="15619" max="15619" width="5.6640625" style="3006" customWidth="1"/>
    <col min="15620" max="15620" width="21.6640625" style="3006" customWidth="1"/>
    <col min="15621" max="15621" width="11.6640625" style="3006" customWidth="1"/>
    <col min="15622" max="15622" width="18.21875" style="3006" customWidth="1"/>
    <col min="15623" max="15623" width="11.44140625" style="3006" customWidth="1"/>
    <col min="15624" max="15624" width="23.6640625" style="3006" customWidth="1"/>
    <col min="15625" max="15625" width="19.77734375" style="3006" customWidth="1"/>
    <col min="15626" max="15626" width="12.6640625" style="3006" bestFit="1" customWidth="1"/>
    <col min="15627" max="15873" width="9" style="3006"/>
    <col min="15874" max="15874" width="13" style="3006" customWidth="1"/>
    <col min="15875" max="15875" width="5.6640625" style="3006" customWidth="1"/>
    <col min="15876" max="15876" width="21.6640625" style="3006" customWidth="1"/>
    <col min="15877" max="15877" width="11.6640625" style="3006" customWidth="1"/>
    <col min="15878" max="15878" width="18.21875" style="3006" customWidth="1"/>
    <col min="15879" max="15879" width="11.44140625" style="3006" customWidth="1"/>
    <col min="15880" max="15880" width="23.6640625" style="3006" customWidth="1"/>
    <col min="15881" max="15881" width="19.77734375" style="3006" customWidth="1"/>
    <col min="15882" max="15882" width="12.6640625" style="3006" bestFit="1" customWidth="1"/>
    <col min="15883" max="16129" width="9" style="3006"/>
    <col min="16130" max="16130" width="13" style="3006" customWidth="1"/>
    <col min="16131" max="16131" width="5.6640625" style="3006" customWidth="1"/>
    <col min="16132" max="16132" width="21.6640625" style="3006" customWidth="1"/>
    <col min="16133" max="16133" width="11.6640625" style="3006" customWidth="1"/>
    <col min="16134" max="16134" width="18.21875" style="3006" customWidth="1"/>
    <col min="16135" max="16135" width="11.44140625" style="3006" customWidth="1"/>
    <col min="16136" max="16136" width="23.6640625" style="3006" customWidth="1"/>
    <col min="16137" max="16137" width="19.77734375" style="3006" customWidth="1"/>
    <col min="16138" max="16138" width="12.6640625" style="3006" bestFit="1" customWidth="1"/>
    <col min="16139" max="16384" width="9" style="3006"/>
  </cols>
  <sheetData>
    <row r="5" spans="2:10">
      <c r="B5" s="3309" t="s">
        <v>3049</v>
      </c>
      <c r="C5" s="3309"/>
      <c r="D5" s="3309"/>
      <c r="E5" s="3309"/>
      <c r="F5" s="3309"/>
      <c r="G5" s="3309"/>
      <c r="H5" s="3309"/>
    </row>
    <row r="6" spans="2:10" ht="17.399999999999999">
      <c r="B6" s="3310" t="s">
        <v>3050</v>
      </c>
      <c r="C6" s="3310"/>
      <c r="D6" s="3310"/>
      <c r="E6" s="3007"/>
    </row>
    <row r="7" spans="2:10" ht="15.6">
      <c r="B7" s="2950" t="s">
        <v>3051</v>
      </c>
      <c r="C7" s="2950" t="s">
        <v>3052</v>
      </c>
      <c r="D7" s="2950" t="s">
        <v>3053</v>
      </c>
      <c r="E7" s="2950"/>
      <c r="F7" s="3018" t="s">
        <v>3300</v>
      </c>
      <c r="G7" s="2951" t="s">
        <v>3056</v>
      </c>
      <c r="H7" s="2951" t="s">
        <v>3057</v>
      </c>
      <c r="I7" s="2952" t="s">
        <v>3058</v>
      </c>
    </row>
    <row r="8" spans="2:10">
      <c r="B8" s="2951" t="s">
        <v>3059</v>
      </c>
      <c r="C8" s="2953" t="s">
        <v>3060</v>
      </c>
      <c r="D8" s="2952">
        <v>14171.97</v>
      </c>
      <c r="E8" s="2951"/>
      <c r="F8" s="2951">
        <v>80</v>
      </c>
      <c r="G8" s="2951">
        <f>14+6</f>
        <v>20</v>
      </c>
      <c r="H8" s="2951">
        <v>9841.1999999999989</v>
      </c>
      <c r="I8" s="2952"/>
    </row>
    <row r="9" spans="2:10">
      <c r="B9" s="2951" t="s">
        <v>3061</v>
      </c>
      <c r="C9" s="2953" t="s">
        <v>3062</v>
      </c>
      <c r="D9" s="2952">
        <v>9838.68</v>
      </c>
      <c r="E9" s="2951"/>
      <c r="F9" s="2951">
        <v>84</v>
      </c>
      <c r="G9" s="3024">
        <v>22</v>
      </c>
      <c r="H9" s="2951">
        <v>9153.9000000000015</v>
      </c>
      <c r="I9" s="2952" t="s">
        <v>3063</v>
      </c>
    </row>
    <row r="10" spans="2:10">
      <c r="B10" s="2951" t="s">
        <v>3064</v>
      </c>
      <c r="C10" s="2953" t="s">
        <v>3065</v>
      </c>
      <c r="D10" s="2952">
        <v>15439.55</v>
      </c>
      <c r="E10" s="2951"/>
      <c r="F10" s="2951">
        <v>92</v>
      </c>
      <c r="G10" s="2951">
        <f>17+6</f>
        <v>23</v>
      </c>
      <c r="H10" s="2951">
        <v>10452.119999999997</v>
      </c>
      <c r="I10" s="2952"/>
    </row>
    <row r="11" spans="2:10">
      <c r="B11" s="2951" t="s">
        <v>3066</v>
      </c>
      <c r="C11" s="2953" t="s">
        <v>3065</v>
      </c>
      <c r="D11" s="2952">
        <v>15442.1</v>
      </c>
      <c r="E11" s="2951"/>
      <c r="F11" s="2951">
        <v>106</v>
      </c>
      <c r="G11" s="2951">
        <f>21+6</f>
        <v>27</v>
      </c>
      <c r="H11" s="2951">
        <v>12116.92000000002</v>
      </c>
      <c r="I11" s="2952"/>
    </row>
    <row r="12" spans="2:10">
      <c r="B12" s="2951" t="s">
        <v>3067</v>
      </c>
      <c r="C12" s="2953" t="s">
        <v>3068</v>
      </c>
      <c r="D12" s="2952">
        <v>12713.79</v>
      </c>
      <c r="E12" s="2951"/>
      <c r="F12" s="2951">
        <v>104</v>
      </c>
      <c r="G12" s="3024">
        <v>26</v>
      </c>
      <c r="H12" s="3025">
        <v>12789.4</v>
      </c>
      <c r="I12" s="2952">
        <v>1120.92</v>
      </c>
      <c r="J12" s="3039">
        <f>H12+I12</f>
        <v>13910.32</v>
      </c>
    </row>
    <row r="13" spans="2:10" ht="15.6">
      <c r="B13" s="3020" t="s">
        <v>3069</v>
      </c>
      <c r="C13" s="3020"/>
      <c r="D13" s="3021">
        <f>SUM(D8:D12)</f>
        <v>67606.09</v>
      </c>
      <c r="E13" s="3021"/>
      <c r="F13" s="3021">
        <f>SUM(F8:F12)</f>
        <v>466</v>
      </c>
      <c r="G13" s="3022"/>
      <c r="H13" s="2950">
        <f>SUM(H8:H12)</f>
        <v>54353.540000000015</v>
      </c>
      <c r="I13" s="3022"/>
    </row>
    <row r="14" spans="2:10">
      <c r="D14" s="2949"/>
      <c r="E14" s="3006"/>
      <c r="F14" s="3006"/>
    </row>
    <row r="15" spans="2:10">
      <c r="D15" s="2949"/>
      <c r="E15" s="3006"/>
      <c r="F15" s="3006"/>
    </row>
    <row r="16" spans="2:10">
      <c r="B16" s="3006" t="s">
        <v>3070</v>
      </c>
    </row>
    <row r="17" spans="2:9" ht="15.6">
      <c r="B17" s="2950" t="s">
        <v>3051</v>
      </c>
      <c r="C17" s="2950" t="s">
        <v>3052</v>
      </c>
      <c r="D17" s="2952"/>
      <c r="E17" s="2952" t="s">
        <v>3071</v>
      </c>
      <c r="F17" s="2951"/>
      <c r="G17" s="2951" t="s">
        <v>3056</v>
      </c>
      <c r="H17" s="2951"/>
      <c r="I17" s="2952"/>
    </row>
    <row r="18" spans="2:9">
      <c r="B18" s="2951" t="s">
        <v>3059</v>
      </c>
      <c r="C18" s="2953" t="s">
        <v>3060</v>
      </c>
      <c r="D18" s="2952"/>
      <c r="E18" s="2952" t="s">
        <v>3072</v>
      </c>
      <c r="F18" s="2951"/>
      <c r="G18" s="2951">
        <v>14</v>
      </c>
      <c r="H18" s="2951"/>
      <c r="I18" s="2952"/>
    </row>
    <row r="19" spans="2:9">
      <c r="B19" s="2951" t="s">
        <v>3061</v>
      </c>
      <c r="C19" s="2953" t="s">
        <v>3062</v>
      </c>
      <c r="D19" s="2952"/>
      <c r="E19" s="2952" t="s">
        <v>3073</v>
      </c>
      <c r="F19" s="2951"/>
      <c r="G19" s="2951">
        <v>16</v>
      </c>
      <c r="H19" s="2951"/>
      <c r="I19" s="2952" t="s">
        <v>3063</v>
      </c>
    </row>
    <row r="20" spans="2:9">
      <c r="B20" s="2951" t="s">
        <v>3064</v>
      </c>
      <c r="C20" s="2953" t="s">
        <v>3065</v>
      </c>
      <c r="D20" s="2952"/>
      <c r="E20" s="2952" t="s">
        <v>3072</v>
      </c>
      <c r="F20" s="2951"/>
      <c r="G20" s="2951">
        <v>17</v>
      </c>
      <c r="H20" s="2951"/>
      <c r="I20" s="2952"/>
    </row>
    <row r="21" spans="2:9">
      <c r="B21" s="2951" t="s">
        <v>3066</v>
      </c>
      <c r="C21" s="2953" t="s">
        <v>3065</v>
      </c>
      <c r="D21" s="2952"/>
      <c r="E21" s="2952" t="s">
        <v>3072</v>
      </c>
      <c r="F21" s="2951"/>
      <c r="G21" s="2951">
        <v>21</v>
      </c>
      <c r="H21" s="2951"/>
      <c r="I21" s="2952"/>
    </row>
    <row r="22" spans="2:9">
      <c r="B22" s="2951" t="s">
        <v>3067</v>
      </c>
      <c r="C22" s="2953" t="s">
        <v>3068</v>
      </c>
      <c r="D22" s="2952"/>
      <c r="E22" s="2952" t="s">
        <v>3072</v>
      </c>
      <c r="F22" s="2951"/>
      <c r="G22" s="2951">
        <v>25</v>
      </c>
      <c r="H22" s="2951"/>
      <c r="I22" s="2952"/>
    </row>
    <row r="23" spans="2:9" ht="15.6">
      <c r="B23" s="3311" t="s">
        <v>3074</v>
      </c>
      <c r="C23" s="3311"/>
      <c r="D23" s="3311"/>
      <c r="E23" s="3311"/>
      <c r="F23" s="3311"/>
    </row>
    <row r="27" spans="2:9" ht="15" thickBot="1"/>
    <row r="28" spans="2:9" ht="15" thickBot="1">
      <c r="G28" s="3040">
        <v>9841.2000000000007</v>
      </c>
    </row>
    <row r="29" spans="2:9" ht="15" thickBot="1">
      <c r="G29" s="3041">
        <v>9153.9</v>
      </c>
    </row>
    <row r="30" spans="2:9" ht="15" thickBot="1">
      <c r="G30" s="3041">
        <v>10452.120000000001</v>
      </c>
    </row>
    <row r="31" spans="2:9" ht="15" thickBot="1">
      <c r="G31" s="3041">
        <v>12116.92</v>
      </c>
    </row>
    <row r="32" spans="2:9" ht="15" thickBot="1">
      <c r="G32" s="3041">
        <v>13910.32</v>
      </c>
    </row>
    <row r="33" spans="2:9">
      <c r="G33" s="2949">
        <f>SUM(G28:G32)</f>
        <v>55474.46</v>
      </c>
    </row>
    <row r="37" spans="2:9" ht="25.2">
      <c r="B37" s="3046" t="s">
        <v>3334</v>
      </c>
      <c r="C37" s="3046" t="s">
        <v>3335</v>
      </c>
      <c r="D37" s="3046" t="s">
        <v>3336</v>
      </c>
      <c r="E37" s="3046" t="s">
        <v>3337</v>
      </c>
      <c r="F37" s="3046" t="s">
        <v>3351</v>
      </c>
      <c r="G37" s="3046" t="s">
        <v>3338</v>
      </c>
      <c r="H37" s="3046" t="s">
        <v>3339</v>
      </c>
      <c r="I37" s="3046" t="s">
        <v>3340</v>
      </c>
    </row>
    <row r="38" spans="2:9" ht="28.8">
      <c r="B38" s="3047">
        <v>1</v>
      </c>
      <c r="C38" s="3048" t="s">
        <v>3345</v>
      </c>
      <c r="D38" s="3048" t="s">
        <v>3348</v>
      </c>
      <c r="E38" s="3047">
        <v>14269.74</v>
      </c>
      <c r="F38" s="3049" t="s">
        <v>3060</v>
      </c>
      <c r="G38" s="3050">
        <v>80</v>
      </c>
      <c r="H38" s="3047">
        <v>9841.1999999999989</v>
      </c>
      <c r="I38" s="3048" t="s">
        <v>3342</v>
      </c>
    </row>
    <row r="39" spans="2:9" ht="28.8">
      <c r="B39" s="3047">
        <v>2</v>
      </c>
      <c r="C39" s="3048" t="s">
        <v>3345</v>
      </c>
      <c r="D39" s="3047" t="s">
        <v>3061</v>
      </c>
      <c r="E39" s="3047">
        <v>9850.4500000000007</v>
      </c>
      <c r="F39" s="3049" t="s">
        <v>3062</v>
      </c>
      <c r="G39" s="3050">
        <v>84</v>
      </c>
      <c r="H39" s="3047">
        <v>9153.9000000000015</v>
      </c>
      <c r="I39" s="3048" t="s">
        <v>3353</v>
      </c>
    </row>
    <row r="40" spans="2:9" ht="28.8">
      <c r="B40" s="3047">
        <v>3</v>
      </c>
      <c r="C40" s="3048" t="s">
        <v>3345</v>
      </c>
      <c r="D40" s="3047" t="s">
        <v>3064</v>
      </c>
      <c r="E40" s="3047">
        <v>15450.96</v>
      </c>
      <c r="F40" s="3049" t="s">
        <v>3065</v>
      </c>
      <c r="G40" s="3050">
        <v>92</v>
      </c>
      <c r="H40" s="3047">
        <v>10452.119999999997</v>
      </c>
      <c r="I40" s="3048" t="s">
        <v>3343</v>
      </c>
    </row>
    <row r="41" spans="2:9" ht="28.8">
      <c r="B41" s="3051">
        <v>4</v>
      </c>
      <c r="C41" s="3048" t="s">
        <v>3345</v>
      </c>
      <c r="D41" s="3047" t="s">
        <v>3066</v>
      </c>
      <c r="E41" s="3047">
        <v>15445.74</v>
      </c>
      <c r="F41" s="3049" t="s">
        <v>3065</v>
      </c>
      <c r="G41" s="3050">
        <v>106</v>
      </c>
      <c r="H41" s="3047">
        <v>12116.92000000002</v>
      </c>
      <c r="I41" s="3048" t="s">
        <v>3344</v>
      </c>
    </row>
    <row r="42" spans="2:9" ht="43.2">
      <c r="B42" s="3051">
        <v>5</v>
      </c>
      <c r="C42" s="3048" t="s">
        <v>3345</v>
      </c>
      <c r="D42" s="3047" t="s">
        <v>3067</v>
      </c>
      <c r="E42" s="3047">
        <v>13913.32</v>
      </c>
      <c r="F42" s="3049" t="s">
        <v>3068</v>
      </c>
      <c r="G42" s="3050" t="s">
        <v>3341</v>
      </c>
      <c r="H42" s="3052" t="s">
        <v>3350</v>
      </c>
      <c r="I42" s="3048" t="s">
        <v>3353</v>
      </c>
    </row>
    <row r="43" spans="2:9" ht="37.799999999999997">
      <c r="B43" s="3312" t="s">
        <v>3349</v>
      </c>
      <c r="C43" s="3313"/>
      <c r="D43" s="3313"/>
      <c r="E43" s="3047">
        <f>SUM(E38:E42)</f>
        <v>68930.209999999992</v>
      </c>
      <c r="F43" s="3048" t="s">
        <v>3352</v>
      </c>
      <c r="G43" s="3053" t="s">
        <v>3346</v>
      </c>
      <c r="H43" s="3047">
        <f>SUM(H38:H42)</f>
        <v>41564.140000000014</v>
      </c>
      <c r="I43" s="3048" t="s">
        <v>3347</v>
      </c>
    </row>
  </sheetData>
  <mergeCells count="4">
    <mergeCell ref="B5:H5"/>
    <mergeCell ref="B6:D6"/>
    <mergeCell ref="B23:F23"/>
    <mergeCell ref="B43:D43"/>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B2" sqref="B2"/>
    </sheetView>
  </sheetViews>
  <sheetFormatPr defaultRowHeight="14.4"/>
  <sheetData>
    <row r="2" spans="1:2">
      <c r="A2" s="2957" t="s">
        <v>3838</v>
      </c>
      <c r="B2" s="2957" t="s">
        <v>3839</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4"/>
  <sheetViews>
    <sheetView tabSelected="1" topLeftCell="D480" workbookViewId="0">
      <selection activeCell="B488" sqref="B488"/>
    </sheetView>
  </sheetViews>
  <sheetFormatPr defaultRowHeight="14.4"/>
  <cols>
    <col min="1" max="1" width="5" bestFit="1" customWidth="1"/>
    <col min="2" max="2" width="68.44140625" customWidth="1"/>
    <col min="3" max="3" width="19.21875" bestFit="1" customWidth="1"/>
    <col min="4" max="4" width="12" customWidth="1"/>
    <col min="6" max="6" width="12" bestFit="1" customWidth="1"/>
    <col min="7" max="7" width="10.44140625" bestFit="1" customWidth="1"/>
  </cols>
  <sheetData>
    <row r="1" spans="1:7" ht="24">
      <c r="A1" s="3054" t="s">
        <v>3330</v>
      </c>
      <c r="B1" s="3054" t="s">
        <v>3331</v>
      </c>
      <c r="C1" s="3054" t="s">
        <v>3332</v>
      </c>
      <c r="D1" s="3055" t="s">
        <v>3832</v>
      </c>
      <c r="E1" s="3056" t="s">
        <v>3358</v>
      </c>
      <c r="F1" s="3055" t="s">
        <v>3357</v>
      </c>
      <c r="G1" s="3056" t="s">
        <v>3358</v>
      </c>
    </row>
    <row r="2" spans="1:7">
      <c r="A2" s="3057">
        <v>1</v>
      </c>
      <c r="B2" s="3058" t="s">
        <v>3360</v>
      </c>
      <c r="C2" s="3059">
        <v>127.08</v>
      </c>
      <c r="D2" s="3060">
        <f ca="1">ROUND(E2*C2/10000,2)</f>
        <v>127.37</v>
      </c>
      <c r="E2" s="3060">
        <f ca="1">结果表!$G$20</f>
        <v>10023</v>
      </c>
      <c r="F2">
        <f ca="1">D2</f>
        <v>127.37</v>
      </c>
      <c r="G2">
        <f ca="1">E2</f>
        <v>10023</v>
      </c>
    </row>
    <row r="3" spans="1:7">
      <c r="A3" s="3057">
        <v>2</v>
      </c>
      <c r="B3" s="3058" t="s">
        <v>3361</v>
      </c>
      <c r="C3" s="3059">
        <v>118.95</v>
      </c>
      <c r="D3" s="3060">
        <f t="shared" ref="D3:D66" ca="1" si="0">ROUND(E3*C3/10000,2)</f>
        <v>119.22</v>
      </c>
      <c r="E3" s="3060">
        <f ca="1">结果表!$G$20</f>
        <v>10023</v>
      </c>
      <c r="F3" s="3070">
        <f t="shared" ref="F3:F66" ca="1" si="1">D3</f>
        <v>119.22</v>
      </c>
      <c r="G3" s="3070">
        <f t="shared" ref="G3:G66" ca="1" si="2">E3</f>
        <v>10023</v>
      </c>
    </row>
    <row r="4" spans="1:7">
      <c r="A4" s="3057">
        <v>3</v>
      </c>
      <c r="B4" s="3058" t="s">
        <v>3362</v>
      </c>
      <c r="C4" s="3059">
        <v>118.95</v>
      </c>
      <c r="D4" s="3060">
        <f t="shared" ca="1" si="0"/>
        <v>119.22</v>
      </c>
      <c r="E4" s="3060">
        <f ca="1">结果表!$G$20</f>
        <v>10023</v>
      </c>
      <c r="F4" s="3070">
        <f t="shared" ca="1" si="1"/>
        <v>119.22</v>
      </c>
      <c r="G4" s="3070">
        <f t="shared" ca="1" si="2"/>
        <v>10023</v>
      </c>
    </row>
    <row r="5" spans="1:7">
      <c r="A5" s="3057">
        <v>4</v>
      </c>
      <c r="B5" s="3058" t="s">
        <v>3363</v>
      </c>
      <c r="C5" s="3059">
        <v>127.08</v>
      </c>
      <c r="D5" s="3060">
        <f t="shared" ca="1" si="0"/>
        <v>127.37</v>
      </c>
      <c r="E5" s="3060">
        <f ca="1">结果表!$G$20</f>
        <v>10023</v>
      </c>
      <c r="F5" s="3070">
        <f t="shared" ca="1" si="1"/>
        <v>127.37</v>
      </c>
      <c r="G5" s="3070">
        <f t="shared" ca="1" si="2"/>
        <v>10023</v>
      </c>
    </row>
    <row r="6" spans="1:7">
      <c r="A6" s="3057">
        <v>5</v>
      </c>
      <c r="B6" s="3058" t="s">
        <v>3364</v>
      </c>
      <c r="C6" s="3059">
        <v>127.08</v>
      </c>
      <c r="D6" s="3060">
        <f t="shared" ca="1" si="0"/>
        <v>127.37</v>
      </c>
      <c r="E6" s="3060">
        <f ca="1">结果表!$G$20</f>
        <v>10023</v>
      </c>
      <c r="F6" s="3070">
        <f t="shared" ca="1" si="1"/>
        <v>127.37</v>
      </c>
      <c r="G6" s="3070">
        <f t="shared" ca="1" si="2"/>
        <v>10023</v>
      </c>
    </row>
    <row r="7" spans="1:7">
      <c r="A7" s="3057">
        <v>6</v>
      </c>
      <c r="B7" s="3058" t="s">
        <v>3365</v>
      </c>
      <c r="C7" s="3059">
        <v>118.95</v>
      </c>
      <c r="D7" s="3060">
        <f t="shared" ca="1" si="0"/>
        <v>119.22</v>
      </c>
      <c r="E7" s="3060">
        <f ca="1">结果表!$G$20</f>
        <v>10023</v>
      </c>
      <c r="F7" s="3070">
        <f t="shared" ca="1" si="1"/>
        <v>119.22</v>
      </c>
      <c r="G7" s="3070">
        <f t="shared" ca="1" si="2"/>
        <v>10023</v>
      </c>
    </row>
    <row r="8" spans="1:7">
      <c r="A8" s="3057">
        <v>7</v>
      </c>
      <c r="B8" s="3058" t="s">
        <v>3366</v>
      </c>
      <c r="C8" s="3059">
        <v>118.95</v>
      </c>
      <c r="D8" s="3060">
        <f t="shared" ca="1" si="0"/>
        <v>119.22</v>
      </c>
      <c r="E8" s="3060">
        <f ca="1">结果表!$G$20</f>
        <v>10023</v>
      </c>
      <c r="F8" s="3070">
        <f t="shared" ca="1" si="1"/>
        <v>119.22</v>
      </c>
      <c r="G8" s="3070">
        <f t="shared" ca="1" si="2"/>
        <v>10023</v>
      </c>
    </row>
    <row r="9" spans="1:7">
      <c r="A9" s="3057">
        <v>8</v>
      </c>
      <c r="B9" s="3058" t="s">
        <v>3367</v>
      </c>
      <c r="C9" s="3059">
        <v>127.08</v>
      </c>
      <c r="D9" s="3060">
        <f t="shared" ca="1" si="0"/>
        <v>127.37</v>
      </c>
      <c r="E9" s="3060">
        <f ca="1">结果表!$G$20</f>
        <v>10023</v>
      </c>
      <c r="F9" s="3070">
        <f t="shared" ca="1" si="1"/>
        <v>127.37</v>
      </c>
      <c r="G9" s="3070">
        <f t="shared" ca="1" si="2"/>
        <v>10023</v>
      </c>
    </row>
    <row r="10" spans="1:7">
      <c r="A10" s="3057">
        <v>9</v>
      </c>
      <c r="B10" s="3058" t="s">
        <v>3368</v>
      </c>
      <c r="C10" s="3059">
        <v>127.08</v>
      </c>
      <c r="D10" s="3060">
        <f t="shared" ca="1" si="0"/>
        <v>127.37</v>
      </c>
      <c r="E10" s="3060">
        <f ca="1">结果表!$G$20</f>
        <v>10023</v>
      </c>
      <c r="F10" s="3070">
        <f t="shared" ca="1" si="1"/>
        <v>127.37</v>
      </c>
      <c r="G10" s="3070">
        <f t="shared" ca="1" si="2"/>
        <v>10023</v>
      </c>
    </row>
    <row r="11" spans="1:7">
      <c r="A11" s="3057">
        <v>10</v>
      </c>
      <c r="B11" s="3058" t="s">
        <v>3369</v>
      </c>
      <c r="C11" s="3059">
        <v>118.95</v>
      </c>
      <c r="D11" s="3060">
        <f t="shared" ca="1" si="0"/>
        <v>119.22</v>
      </c>
      <c r="E11" s="3060">
        <f ca="1">结果表!$G$20</f>
        <v>10023</v>
      </c>
      <c r="F11" s="3070">
        <f t="shared" ca="1" si="1"/>
        <v>119.22</v>
      </c>
      <c r="G11" s="3070">
        <f t="shared" ca="1" si="2"/>
        <v>10023</v>
      </c>
    </row>
    <row r="12" spans="1:7">
      <c r="A12" s="3057">
        <v>11</v>
      </c>
      <c r="B12" s="3058" t="s">
        <v>3370</v>
      </c>
      <c r="C12" s="3059">
        <v>118.95</v>
      </c>
      <c r="D12" s="3060">
        <f t="shared" ca="1" si="0"/>
        <v>119.22</v>
      </c>
      <c r="E12" s="3060">
        <f ca="1">结果表!$G$20</f>
        <v>10023</v>
      </c>
      <c r="F12" s="3070">
        <f t="shared" ca="1" si="1"/>
        <v>119.22</v>
      </c>
      <c r="G12" s="3070">
        <f t="shared" ca="1" si="2"/>
        <v>10023</v>
      </c>
    </row>
    <row r="13" spans="1:7">
      <c r="A13" s="3057">
        <v>12</v>
      </c>
      <c r="B13" s="3058" t="s">
        <v>3371</v>
      </c>
      <c r="C13" s="3059">
        <v>127.08</v>
      </c>
      <c r="D13" s="3060">
        <f t="shared" ca="1" si="0"/>
        <v>127.37</v>
      </c>
      <c r="E13" s="3060">
        <f ca="1">结果表!$G$20</f>
        <v>10023</v>
      </c>
      <c r="F13" s="3070">
        <f t="shared" ca="1" si="1"/>
        <v>127.37</v>
      </c>
      <c r="G13" s="3070">
        <f t="shared" ca="1" si="2"/>
        <v>10023</v>
      </c>
    </row>
    <row r="14" spans="1:7">
      <c r="A14" s="3057">
        <v>13</v>
      </c>
      <c r="B14" s="3058" t="s">
        <v>3372</v>
      </c>
      <c r="C14" s="3059">
        <v>127.08</v>
      </c>
      <c r="D14" s="3060">
        <f t="shared" ca="1" si="0"/>
        <v>127.37</v>
      </c>
      <c r="E14" s="3060">
        <f ca="1">结果表!$G$20</f>
        <v>10023</v>
      </c>
      <c r="F14" s="3070">
        <f t="shared" ca="1" si="1"/>
        <v>127.37</v>
      </c>
      <c r="G14" s="3070">
        <f t="shared" ca="1" si="2"/>
        <v>10023</v>
      </c>
    </row>
    <row r="15" spans="1:7">
      <c r="A15" s="3057">
        <v>14</v>
      </c>
      <c r="B15" s="3058" t="s">
        <v>3373</v>
      </c>
      <c r="C15" s="3059">
        <v>118.95</v>
      </c>
      <c r="D15" s="3060">
        <f t="shared" ca="1" si="0"/>
        <v>119.22</v>
      </c>
      <c r="E15" s="3060">
        <f ca="1">结果表!$G$20</f>
        <v>10023</v>
      </c>
      <c r="F15" s="3070">
        <f t="shared" ca="1" si="1"/>
        <v>119.22</v>
      </c>
      <c r="G15" s="3070">
        <f t="shared" ca="1" si="2"/>
        <v>10023</v>
      </c>
    </row>
    <row r="16" spans="1:7">
      <c r="A16" s="3057">
        <v>15</v>
      </c>
      <c r="B16" s="3058" t="s">
        <v>3374</v>
      </c>
      <c r="C16" s="3059">
        <v>118.95</v>
      </c>
      <c r="D16" s="3060">
        <f t="shared" ca="1" si="0"/>
        <v>119.22</v>
      </c>
      <c r="E16" s="3060">
        <f ca="1">结果表!$G$20</f>
        <v>10023</v>
      </c>
      <c r="F16" s="3070">
        <f t="shared" ca="1" si="1"/>
        <v>119.22</v>
      </c>
      <c r="G16" s="3070">
        <f t="shared" ca="1" si="2"/>
        <v>10023</v>
      </c>
    </row>
    <row r="17" spans="1:7">
      <c r="A17" s="3057">
        <v>16</v>
      </c>
      <c r="B17" s="3058" t="s">
        <v>3375</v>
      </c>
      <c r="C17" s="3059">
        <v>127.08</v>
      </c>
      <c r="D17" s="3060">
        <f t="shared" ca="1" si="0"/>
        <v>127.37</v>
      </c>
      <c r="E17" s="3060">
        <f ca="1">结果表!$G$20</f>
        <v>10023</v>
      </c>
      <c r="F17" s="3070">
        <f t="shared" ca="1" si="1"/>
        <v>127.37</v>
      </c>
      <c r="G17" s="3070">
        <f t="shared" ca="1" si="2"/>
        <v>10023</v>
      </c>
    </row>
    <row r="18" spans="1:7">
      <c r="A18" s="3057">
        <v>17</v>
      </c>
      <c r="B18" s="3058" t="s">
        <v>3376</v>
      </c>
      <c r="C18" s="3059">
        <v>127.08</v>
      </c>
      <c r="D18" s="3060">
        <f t="shared" ca="1" si="0"/>
        <v>127.37</v>
      </c>
      <c r="E18" s="3060">
        <f ca="1">结果表!$G$20</f>
        <v>10023</v>
      </c>
      <c r="F18" s="3070">
        <f t="shared" ca="1" si="1"/>
        <v>127.37</v>
      </c>
      <c r="G18" s="3070">
        <f t="shared" ca="1" si="2"/>
        <v>10023</v>
      </c>
    </row>
    <row r="19" spans="1:7">
      <c r="A19" s="3057">
        <v>18</v>
      </c>
      <c r="B19" s="3058" t="s">
        <v>3377</v>
      </c>
      <c r="C19" s="3059">
        <v>118.95</v>
      </c>
      <c r="D19" s="3060">
        <f t="shared" ca="1" si="0"/>
        <v>119.22</v>
      </c>
      <c r="E19" s="3060">
        <f ca="1">结果表!$G$20</f>
        <v>10023</v>
      </c>
      <c r="F19" s="3070">
        <f t="shared" ca="1" si="1"/>
        <v>119.22</v>
      </c>
      <c r="G19" s="3070">
        <f t="shared" ca="1" si="2"/>
        <v>10023</v>
      </c>
    </row>
    <row r="20" spans="1:7">
      <c r="A20" s="3057">
        <v>19</v>
      </c>
      <c r="B20" s="3058" t="s">
        <v>3378</v>
      </c>
      <c r="C20" s="3059">
        <v>118.95</v>
      </c>
      <c r="D20" s="3060">
        <f t="shared" ca="1" si="0"/>
        <v>119.22</v>
      </c>
      <c r="E20" s="3060">
        <f ca="1">结果表!$G$20</f>
        <v>10023</v>
      </c>
      <c r="F20" s="3070">
        <f t="shared" ca="1" si="1"/>
        <v>119.22</v>
      </c>
      <c r="G20" s="3070">
        <f t="shared" ca="1" si="2"/>
        <v>10023</v>
      </c>
    </row>
    <row r="21" spans="1:7">
      <c r="A21" s="3057">
        <v>20</v>
      </c>
      <c r="B21" s="3058" t="s">
        <v>3379</v>
      </c>
      <c r="C21" s="3059">
        <v>127.08</v>
      </c>
      <c r="D21" s="3060">
        <f t="shared" ca="1" si="0"/>
        <v>127.37</v>
      </c>
      <c r="E21" s="3060">
        <f ca="1">结果表!$G$20</f>
        <v>10023</v>
      </c>
      <c r="F21" s="3070">
        <f t="shared" ca="1" si="1"/>
        <v>127.37</v>
      </c>
      <c r="G21" s="3070">
        <f t="shared" ca="1" si="2"/>
        <v>10023</v>
      </c>
    </row>
    <row r="22" spans="1:7">
      <c r="A22" s="3057">
        <v>21</v>
      </c>
      <c r="B22" s="3058" t="s">
        <v>3380</v>
      </c>
      <c r="C22" s="3059">
        <v>127.08</v>
      </c>
      <c r="D22" s="3060">
        <f t="shared" ca="1" si="0"/>
        <v>127.37</v>
      </c>
      <c r="E22" s="3060">
        <f ca="1">结果表!$G$20</f>
        <v>10023</v>
      </c>
      <c r="F22" s="3070">
        <f t="shared" ca="1" si="1"/>
        <v>127.37</v>
      </c>
      <c r="G22" s="3070">
        <f t="shared" ca="1" si="2"/>
        <v>10023</v>
      </c>
    </row>
    <row r="23" spans="1:7">
      <c r="A23" s="3057">
        <v>22</v>
      </c>
      <c r="B23" s="3058" t="s">
        <v>3381</v>
      </c>
      <c r="C23" s="3059">
        <v>118.95</v>
      </c>
      <c r="D23" s="3060">
        <f t="shared" ca="1" si="0"/>
        <v>119.22</v>
      </c>
      <c r="E23" s="3060">
        <f ca="1">结果表!$G$20</f>
        <v>10023</v>
      </c>
      <c r="F23" s="3070">
        <f t="shared" ca="1" si="1"/>
        <v>119.22</v>
      </c>
      <c r="G23" s="3070">
        <f t="shared" ca="1" si="2"/>
        <v>10023</v>
      </c>
    </row>
    <row r="24" spans="1:7">
      <c r="A24" s="3057">
        <v>23</v>
      </c>
      <c r="B24" s="3058" t="s">
        <v>3382</v>
      </c>
      <c r="C24" s="3059">
        <v>118.95</v>
      </c>
      <c r="D24" s="3060">
        <f t="shared" ca="1" si="0"/>
        <v>119.22</v>
      </c>
      <c r="E24" s="3060">
        <f ca="1">结果表!$G$20</f>
        <v>10023</v>
      </c>
      <c r="F24" s="3070">
        <f t="shared" ca="1" si="1"/>
        <v>119.22</v>
      </c>
      <c r="G24" s="3070">
        <f t="shared" ca="1" si="2"/>
        <v>10023</v>
      </c>
    </row>
    <row r="25" spans="1:7">
      <c r="A25" s="3057">
        <v>24</v>
      </c>
      <c r="B25" s="3058" t="s">
        <v>3383</v>
      </c>
      <c r="C25" s="3059">
        <v>127.08</v>
      </c>
      <c r="D25" s="3060">
        <f t="shared" ca="1" si="0"/>
        <v>127.37</v>
      </c>
      <c r="E25" s="3060">
        <f ca="1">结果表!$G$20</f>
        <v>10023</v>
      </c>
      <c r="F25" s="3070">
        <f t="shared" ca="1" si="1"/>
        <v>127.37</v>
      </c>
      <c r="G25" s="3070">
        <f t="shared" ca="1" si="2"/>
        <v>10023</v>
      </c>
    </row>
    <row r="26" spans="1:7">
      <c r="A26" s="3057">
        <v>25</v>
      </c>
      <c r="B26" s="3058" t="s">
        <v>3384</v>
      </c>
      <c r="C26" s="3059">
        <v>127.08</v>
      </c>
      <c r="D26" s="3060">
        <f t="shared" ca="1" si="0"/>
        <v>127.37</v>
      </c>
      <c r="E26" s="3060">
        <f ca="1">结果表!$G$20</f>
        <v>10023</v>
      </c>
      <c r="F26" s="3070">
        <f t="shared" ca="1" si="1"/>
        <v>127.37</v>
      </c>
      <c r="G26" s="3070">
        <f t="shared" ca="1" si="2"/>
        <v>10023</v>
      </c>
    </row>
    <row r="27" spans="1:7">
      <c r="A27" s="3057">
        <v>26</v>
      </c>
      <c r="B27" s="3058" t="s">
        <v>3385</v>
      </c>
      <c r="C27" s="3059">
        <v>118.95</v>
      </c>
      <c r="D27" s="3060">
        <f t="shared" ca="1" si="0"/>
        <v>119.22</v>
      </c>
      <c r="E27" s="3060">
        <f ca="1">结果表!$G$20</f>
        <v>10023</v>
      </c>
      <c r="F27" s="3070">
        <f t="shared" ca="1" si="1"/>
        <v>119.22</v>
      </c>
      <c r="G27" s="3070">
        <f t="shared" ca="1" si="2"/>
        <v>10023</v>
      </c>
    </row>
    <row r="28" spans="1:7">
      <c r="A28" s="3057">
        <v>27</v>
      </c>
      <c r="B28" s="3058" t="s">
        <v>3386</v>
      </c>
      <c r="C28" s="3059">
        <v>118.95</v>
      </c>
      <c r="D28" s="3060">
        <f t="shared" ca="1" si="0"/>
        <v>119.22</v>
      </c>
      <c r="E28" s="3060">
        <f ca="1">结果表!$G$20</f>
        <v>10023</v>
      </c>
      <c r="F28" s="3070">
        <f t="shared" ca="1" si="1"/>
        <v>119.22</v>
      </c>
      <c r="G28" s="3070">
        <f t="shared" ca="1" si="2"/>
        <v>10023</v>
      </c>
    </row>
    <row r="29" spans="1:7">
      <c r="A29" s="3057">
        <v>28</v>
      </c>
      <c r="B29" s="3058" t="s">
        <v>3387</v>
      </c>
      <c r="C29" s="3059">
        <v>127.08</v>
      </c>
      <c r="D29" s="3060">
        <f t="shared" ca="1" si="0"/>
        <v>127.37</v>
      </c>
      <c r="E29" s="3060">
        <f ca="1">结果表!$G$20</f>
        <v>10023</v>
      </c>
      <c r="F29" s="3070">
        <f t="shared" ca="1" si="1"/>
        <v>127.37</v>
      </c>
      <c r="G29" s="3070">
        <f t="shared" ca="1" si="2"/>
        <v>10023</v>
      </c>
    </row>
    <row r="30" spans="1:7">
      <c r="A30" s="3057">
        <v>29</v>
      </c>
      <c r="B30" s="3058" t="s">
        <v>3388</v>
      </c>
      <c r="C30" s="3059">
        <v>127.08</v>
      </c>
      <c r="D30" s="3060">
        <f t="shared" ca="1" si="0"/>
        <v>127.37</v>
      </c>
      <c r="E30" s="3060">
        <f ca="1">结果表!$G$20</f>
        <v>10023</v>
      </c>
      <c r="F30" s="3070">
        <f t="shared" ca="1" si="1"/>
        <v>127.37</v>
      </c>
      <c r="G30" s="3070">
        <f t="shared" ca="1" si="2"/>
        <v>10023</v>
      </c>
    </row>
    <row r="31" spans="1:7">
      <c r="A31" s="3057">
        <v>30</v>
      </c>
      <c r="B31" s="3058" t="s">
        <v>3389</v>
      </c>
      <c r="C31" s="3059">
        <v>118.95</v>
      </c>
      <c r="D31" s="3060">
        <f t="shared" ca="1" si="0"/>
        <v>119.22</v>
      </c>
      <c r="E31" s="3060">
        <f ca="1">结果表!$G$20</f>
        <v>10023</v>
      </c>
      <c r="F31" s="3070">
        <f t="shared" ca="1" si="1"/>
        <v>119.22</v>
      </c>
      <c r="G31" s="3070">
        <f t="shared" ca="1" si="2"/>
        <v>10023</v>
      </c>
    </row>
    <row r="32" spans="1:7">
      <c r="A32" s="3057">
        <v>31</v>
      </c>
      <c r="B32" s="3058" t="s">
        <v>3390</v>
      </c>
      <c r="C32" s="3059">
        <v>118.95</v>
      </c>
      <c r="D32" s="3060">
        <f t="shared" ca="1" si="0"/>
        <v>119.22</v>
      </c>
      <c r="E32" s="3060">
        <f ca="1">结果表!$G$20</f>
        <v>10023</v>
      </c>
      <c r="F32" s="3070">
        <f t="shared" ca="1" si="1"/>
        <v>119.22</v>
      </c>
      <c r="G32" s="3070">
        <f t="shared" ca="1" si="2"/>
        <v>10023</v>
      </c>
    </row>
    <row r="33" spans="1:7">
      <c r="A33" s="3057">
        <v>32</v>
      </c>
      <c r="B33" s="3058" t="s">
        <v>3391</v>
      </c>
      <c r="C33" s="3059">
        <v>127.08</v>
      </c>
      <c r="D33" s="3060">
        <f t="shared" ca="1" si="0"/>
        <v>127.37</v>
      </c>
      <c r="E33" s="3060">
        <f ca="1">结果表!$G$20</f>
        <v>10023</v>
      </c>
      <c r="F33" s="3070">
        <f t="shared" ca="1" si="1"/>
        <v>127.37</v>
      </c>
      <c r="G33" s="3070">
        <f t="shared" ca="1" si="2"/>
        <v>10023</v>
      </c>
    </row>
    <row r="34" spans="1:7">
      <c r="A34" s="3057">
        <v>33</v>
      </c>
      <c r="B34" s="3058" t="s">
        <v>3392</v>
      </c>
      <c r="C34" s="3059">
        <v>127.08</v>
      </c>
      <c r="D34" s="3060">
        <f t="shared" ca="1" si="0"/>
        <v>127.37</v>
      </c>
      <c r="E34" s="3060">
        <f ca="1">结果表!$G$20</f>
        <v>10023</v>
      </c>
      <c r="F34" s="3070">
        <f t="shared" ca="1" si="1"/>
        <v>127.37</v>
      </c>
      <c r="G34" s="3070">
        <f t="shared" ca="1" si="2"/>
        <v>10023</v>
      </c>
    </row>
    <row r="35" spans="1:7">
      <c r="A35" s="3057">
        <v>34</v>
      </c>
      <c r="B35" s="3058" t="s">
        <v>3393</v>
      </c>
      <c r="C35" s="3059">
        <v>118.95</v>
      </c>
      <c r="D35" s="3060">
        <f t="shared" ca="1" si="0"/>
        <v>119.22</v>
      </c>
      <c r="E35" s="3060">
        <f ca="1">结果表!$G$20</f>
        <v>10023</v>
      </c>
      <c r="F35" s="3070">
        <f t="shared" ca="1" si="1"/>
        <v>119.22</v>
      </c>
      <c r="G35" s="3070">
        <f t="shared" ca="1" si="2"/>
        <v>10023</v>
      </c>
    </row>
    <row r="36" spans="1:7">
      <c r="A36" s="3057">
        <v>35</v>
      </c>
      <c r="B36" s="3058" t="s">
        <v>3394</v>
      </c>
      <c r="C36" s="3059">
        <v>118.95</v>
      </c>
      <c r="D36" s="3060">
        <f t="shared" ca="1" si="0"/>
        <v>119.22</v>
      </c>
      <c r="E36" s="3060">
        <f ca="1">结果表!$G$20</f>
        <v>10023</v>
      </c>
      <c r="F36" s="3070">
        <f t="shared" ca="1" si="1"/>
        <v>119.22</v>
      </c>
      <c r="G36" s="3070">
        <f t="shared" ca="1" si="2"/>
        <v>10023</v>
      </c>
    </row>
    <row r="37" spans="1:7">
      <c r="A37" s="3057">
        <v>36</v>
      </c>
      <c r="B37" s="3058" t="s">
        <v>3395</v>
      </c>
      <c r="C37" s="3059">
        <v>127.08</v>
      </c>
      <c r="D37" s="3060">
        <f t="shared" ca="1" si="0"/>
        <v>127.37</v>
      </c>
      <c r="E37" s="3060">
        <f ca="1">结果表!$G$20</f>
        <v>10023</v>
      </c>
      <c r="F37" s="3070">
        <f t="shared" ca="1" si="1"/>
        <v>127.37</v>
      </c>
      <c r="G37" s="3070">
        <f t="shared" ca="1" si="2"/>
        <v>10023</v>
      </c>
    </row>
    <row r="38" spans="1:7">
      <c r="A38" s="3057">
        <v>37</v>
      </c>
      <c r="B38" s="3058" t="s">
        <v>3396</v>
      </c>
      <c r="C38" s="3059">
        <v>127.08</v>
      </c>
      <c r="D38" s="3060">
        <f t="shared" ca="1" si="0"/>
        <v>127.37</v>
      </c>
      <c r="E38" s="3060">
        <f ca="1">结果表!$G$20</f>
        <v>10023</v>
      </c>
      <c r="F38" s="3070">
        <f t="shared" ca="1" si="1"/>
        <v>127.37</v>
      </c>
      <c r="G38" s="3070">
        <f t="shared" ca="1" si="2"/>
        <v>10023</v>
      </c>
    </row>
    <row r="39" spans="1:7">
      <c r="A39" s="3057">
        <v>38</v>
      </c>
      <c r="B39" s="3058" t="s">
        <v>3397</v>
      </c>
      <c r="C39" s="3059">
        <v>118.95</v>
      </c>
      <c r="D39" s="3060">
        <f t="shared" ca="1" si="0"/>
        <v>119.22</v>
      </c>
      <c r="E39" s="3060">
        <f ca="1">结果表!$G$20</f>
        <v>10023</v>
      </c>
      <c r="F39" s="3070">
        <f t="shared" ca="1" si="1"/>
        <v>119.22</v>
      </c>
      <c r="G39" s="3070">
        <f t="shared" ca="1" si="2"/>
        <v>10023</v>
      </c>
    </row>
    <row r="40" spans="1:7">
      <c r="A40" s="3057">
        <v>39</v>
      </c>
      <c r="B40" s="3058" t="s">
        <v>3398</v>
      </c>
      <c r="C40" s="3059">
        <v>118.95</v>
      </c>
      <c r="D40" s="3060">
        <f t="shared" ca="1" si="0"/>
        <v>119.22</v>
      </c>
      <c r="E40" s="3060">
        <f ca="1">结果表!$G$20</f>
        <v>10023</v>
      </c>
      <c r="F40" s="3070">
        <f t="shared" ca="1" si="1"/>
        <v>119.22</v>
      </c>
      <c r="G40" s="3070">
        <f t="shared" ca="1" si="2"/>
        <v>10023</v>
      </c>
    </row>
    <row r="41" spans="1:7">
      <c r="A41" s="3057">
        <v>40</v>
      </c>
      <c r="B41" s="3058" t="s">
        <v>3399</v>
      </c>
      <c r="C41" s="3059">
        <v>127.08</v>
      </c>
      <c r="D41" s="3060">
        <f t="shared" ca="1" si="0"/>
        <v>127.37</v>
      </c>
      <c r="E41" s="3060">
        <f ca="1">结果表!$G$20</f>
        <v>10023</v>
      </c>
      <c r="F41" s="3070">
        <f t="shared" ca="1" si="1"/>
        <v>127.37</v>
      </c>
      <c r="G41" s="3070">
        <f t="shared" ca="1" si="2"/>
        <v>10023</v>
      </c>
    </row>
    <row r="42" spans="1:7">
      <c r="A42" s="3057">
        <v>41</v>
      </c>
      <c r="B42" s="3058" t="s">
        <v>3400</v>
      </c>
      <c r="C42" s="3059">
        <v>127.08</v>
      </c>
      <c r="D42" s="3060">
        <f t="shared" ca="1" si="0"/>
        <v>127.37</v>
      </c>
      <c r="E42" s="3060">
        <f ca="1">结果表!$G$20</f>
        <v>10023</v>
      </c>
      <c r="F42" s="3070">
        <f t="shared" ca="1" si="1"/>
        <v>127.37</v>
      </c>
      <c r="G42" s="3070">
        <f t="shared" ca="1" si="2"/>
        <v>10023</v>
      </c>
    </row>
    <row r="43" spans="1:7">
      <c r="A43" s="3057">
        <v>42</v>
      </c>
      <c r="B43" s="3058" t="s">
        <v>3401</v>
      </c>
      <c r="C43" s="3059">
        <v>118.95</v>
      </c>
      <c r="D43" s="3060">
        <f t="shared" ca="1" si="0"/>
        <v>119.22</v>
      </c>
      <c r="E43" s="3060">
        <f ca="1">结果表!$G$20</f>
        <v>10023</v>
      </c>
      <c r="F43" s="3070">
        <f t="shared" ca="1" si="1"/>
        <v>119.22</v>
      </c>
      <c r="G43" s="3070">
        <f t="shared" ca="1" si="2"/>
        <v>10023</v>
      </c>
    </row>
    <row r="44" spans="1:7">
      <c r="A44" s="3057">
        <v>43</v>
      </c>
      <c r="B44" s="3058" t="s">
        <v>3402</v>
      </c>
      <c r="C44" s="3059">
        <v>118.95</v>
      </c>
      <c r="D44" s="3060">
        <f t="shared" ca="1" si="0"/>
        <v>119.22</v>
      </c>
      <c r="E44" s="3060">
        <f ca="1">结果表!$G$20</f>
        <v>10023</v>
      </c>
      <c r="F44" s="3070">
        <f t="shared" ca="1" si="1"/>
        <v>119.22</v>
      </c>
      <c r="G44" s="3070">
        <f t="shared" ca="1" si="2"/>
        <v>10023</v>
      </c>
    </row>
    <row r="45" spans="1:7">
      <c r="A45" s="3057">
        <v>44</v>
      </c>
      <c r="B45" s="3058" t="s">
        <v>3403</v>
      </c>
      <c r="C45" s="3059">
        <v>127.08</v>
      </c>
      <c r="D45" s="3060">
        <f t="shared" ca="1" si="0"/>
        <v>127.37</v>
      </c>
      <c r="E45" s="3060">
        <f ca="1">结果表!$G$20</f>
        <v>10023</v>
      </c>
      <c r="F45" s="3070">
        <f t="shared" ca="1" si="1"/>
        <v>127.37</v>
      </c>
      <c r="G45" s="3070">
        <f t="shared" ca="1" si="2"/>
        <v>10023</v>
      </c>
    </row>
    <row r="46" spans="1:7">
      <c r="A46" s="3057">
        <v>45</v>
      </c>
      <c r="B46" s="3058" t="s">
        <v>3404</v>
      </c>
      <c r="C46" s="3059">
        <v>127.08</v>
      </c>
      <c r="D46" s="3060">
        <f t="shared" ca="1" si="0"/>
        <v>127.37</v>
      </c>
      <c r="E46" s="3060">
        <f ca="1">结果表!$G$20</f>
        <v>10023</v>
      </c>
      <c r="F46" s="3070">
        <f t="shared" ca="1" si="1"/>
        <v>127.37</v>
      </c>
      <c r="G46" s="3070">
        <f t="shared" ca="1" si="2"/>
        <v>10023</v>
      </c>
    </row>
    <row r="47" spans="1:7">
      <c r="A47" s="3057">
        <v>46</v>
      </c>
      <c r="B47" s="3058" t="s">
        <v>3405</v>
      </c>
      <c r="C47" s="3059">
        <v>118.95</v>
      </c>
      <c r="D47" s="3060">
        <f t="shared" ca="1" si="0"/>
        <v>119.22</v>
      </c>
      <c r="E47" s="3060">
        <f ca="1">结果表!$G$20</f>
        <v>10023</v>
      </c>
      <c r="F47" s="3070">
        <f t="shared" ca="1" si="1"/>
        <v>119.22</v>
      </c>
      <c r="G47" s="3070">
        <f t="shared" ca="1" si="2"/>
        <v>10023</v>
      </c>
    </row>
    <row r="48" spans="1:7">
      <c r="A48" s="3057">
        <v>47</v>
      </c>
      <c r="B48" s="3058" t="s">
        <v>3406</v>
      </c>
      <c r="C48" s="3059">
        <v>118.95</v>
      </c>
      <c r="D48" s="3060">
        <f t="shared" ca="1" si="0"/>
        <v>119.22</v>
      </c>
      <c r="E48" s="3060">
        <f ca="1">结果表!$G$20</f>
        <v>10023</v>
      </c>
      <c r="F48" s="3070">
        <f t="shared" ca="1" si="1"/>
        <v>119.22</v>
      </c>
      <c r="G48" s="3070">
        <f t="shared" ca="1" si="2"/>
        <v>10023</v>
      </c>
    </row>
    <row r="49" spans="1:7">
      <c r="A49" s="3057">
        <v>48</v>
      </c>
      <c r="B49" s="3058" t="s">
        <v>3407</v>
      </c>
      <c r="C49" s="3059">
        <v>127.08</v>
      </c>
      <c r="D49" s="3060">
        <f t="shared" ca="1" si="0"/>
        <v>127.37</v>
      </c>
      <c r="E49" s="3060">
        <f ca="1">结果表!$G$20</f>
        <v>10023</v>
      </c>
      <c r="F49" s="3070">
        <f t="shared" ca="1" si="1"/>
        <v>127.37</v>
      </c>
      <c r="G49" s="3070">
        <f t="shared" ca="1" si="2"/>
        <v>10023</v>
      </c>
    </row>
    <row r="50" spans="1:7">
      <c r="A50" s="3057">
        <v>49</v>
      </c>
      <c r="B50" s="3058" t="s">
        <v>3408</v>
      </c>
      <c r="C50" s="3059">
        <v>127.08</v>
      </c>
      <c r="D50" s="3060">
        <f t="shared" ca="1" si="0"/>
        <v>127.37</v>
      </c>
      <c r="E50" s="3060">
        <f ca="1">结果表!$G$20</f>
        <v>10023</v>
      </c>
      <c r="F50" s="3070">
        <f t="shared" ca="1" si="1"/>
        <v>127.37</v>
      </c>
      <c r="G50" s="3070">
        <f t="shared" ca="1" si="2"/>
        <v>10023</v>
      </c>
    </row>
    <row r="51" spans="1:7">
      <c r="A51" s="3057">
        <v>50</v>
      </c>
      <c r="B51" s="3058" t="s">
        <v>3409</v>
      </c>
      <c r="C51" s="3059">
        <v>118.95</v>
      </c>
      <c r="D51" s="3060">
        <f t="shared" ca="1" si="0"/>
        <v>119.22</v>
      </c>
      <c r="E51" s="3060">
        <f ca="1">结果表!$G$20</f>
        <v>10023</v>
      </c>
      <c r="F51" s="3070">
        <f t="shared" ca="1" si="1"/>
        <v>119.22</v>
      </c>
      <c r="G51" s="3070">
        <f t="shared" ca="1" si="2"/>
        <v>10023</v>
      </c>
    </row>
    <row r="52" spans="1:7">
      <c r="A52" s="3057">
        <v>51</v>
      </c>
      <c r="B52" s="3058" t="s">
        <v>3410</v>
      </c>
      <c r="C52" s="3059">
        <v>118.95</v>
      </c>
      <c r="D52" s="3060">
        <f t="shared" ca="1" si="0"/>
        <v>119.22</v>
      </c>
      <c r="E52" s="3060">
        <f ca="1">结果表!$G$20</f>
        <v>10023</v>
      </c>
      <c r="F52" s="3070">
        <f t="shared" ca="1" si="1"/>
        <v>119.22</v>
      </c>
      <c r="G52" s="3070">
        <f t="shared" ca="1" si="2"/>
        <v>10023</v>
      </c>
    </row>
    <row r="53" spans="1:7">
      <c r="A53" s="3057">
        <v>52</v>
      </c>
      <c r="B53" s="3058" t="s">
        <v>3411</v>
      </c>
      <c r="C53" s="3059">
        <v>127.08</v>
      </c>
      <c r="D53" s="3060">
        <f t="shared" ca="1" si="0"/>
        <v>127.37</v>
      </c>
      <c r="E53" s="3060">
        <f ca="1">结果表!$G$20</f>
        <v>10023</v>
      </c>
      <c r="F53" s="3070">
        <f t="shared" ca="1" si="1"/>
        <v>127.37</v>
      </c>
      <c r="G53" s="3070">
        <f t="shared" ca="1" si="2"/>
        <v>10023</v>
      </c>
    </row>
    <row r="54" spans="1:7">
      <c r="A54" s="3057">
        <v>53</v>
      </c>
      <c r="B54" s="3058" t="s">
        <v>3412</v>
      </c>
      <c r="C54" s="3059">
        <v>127.08</v>
      </c>
      <c r="D54" s="3060">
        <f t="shared" ca="1" si="0"/>
        <v>127.37</v>
      </c>
      <c r="E54" s="3060">
        <f ca="1">结果表!$G$20</f>
        <v>10023</v>
      </c>
      <c r="F54" s="3070">
        <f t="shared" ca="1" si="1"/>
        <v>127.37</v>
      </c>
      <c r="G54" s="3070">
        <f t="shared" ca="1" si="2"/>
        <v>10023</v>
      </c>
    </row>
    <row r="55" spans="1:7">
      <c r="A55" s="3057">
        <v>54</v>
      </c>
      <c r="B55" s="3058" t="s">
        <v>3413</v>
      </c>
      <c r="C55" s="3059">
        <v>118.95</v>
      </c>
      <c r="D55" s="3060">
        <f t="shared" ca="1" si="0"/>
        <v>119.22</v>
      </c>
      <c r="E55" s="3060">
        <f ca="1">结果表!$G$20</f>
        <v>10023</v>
      </c>
      <c r="F55" s="3070">
        <f t="shared" ca="1" si="1"/>
        <v>119.22</v>
      </c>
      <c r="G55" s="3070">
        <f t="shared" ca="1" si="2"/>
        <v>10023</v>
      </c>
    </row>
    <row r="56" spans="1:7">
      <c r="A56" s="3057">
        <v>55</v>
      </c>
      <c r="B56" s="3058" t="s">
        <v>3414</v>
      </c>
      <c r="C56" s="3059">
        <v>118.95</v>
      </c>
      <c r="D56" s="3060">
        <f t="shared" ca="1" si="0"/>
        <v>119.22</v>
      </c>
      <c r="E56" s="3060">
        <f ca="1">结果表!$G$20</f>
        <v>10023</v>
      </c>
      <c r="F56" s="3070">
        <f t="shared" ca="1" si="1"/>
        <v>119.22</v>
      </c>
      <c r="G56" s="3070">
        <f t="shared" ca="1" si="2"/>
        <v>10023</v>
      </c>
    </row>
    <row r="57" spans="1:7">
      <c r="A57" s="3057">
        <v>56</v>
      </c>
      <c r="B57" s="3058" t="s">
        <v>3415</v>
      </c>
      <c r="C57" s="3059">
        <v>127.08</v>
      </c>
      <c r="D57" s="3060">
        <f t="shared" ca="1" si="0"/>
        <v>127.37</v>
      </c>
      <c r="E57" s="3060">
        <f ca="1">结果表!$G$20</f>
        <v>10023</v>
      </c>
      <c r="F57" s="3070">
        <f t="shared" ca="1" si="1"/>
        <v>127.37</v>
      </c>
      <c r="G57" s="3070">
        <f t="shared" ca="1" si="2"/>
        <v>10023</v>
      </c>
    </row>
    <row r="58" spans="1:7">
      <c r="A58" s="3057">
        <v>57</v>
      </c>
      <c r="B58" s="3058" t="s">
        <v>3416</v>
      </c>
      <c r="C58" s="3059">
        <v>127.08</v>
      </c>
      <c r="D58" s="3060">
        <f t="shared" ca="1" si="0"/>
        <v>127.37</v>
      </c>
      <c r="E58" s="3060">
        <f ca="1">结果表!$G$20</f>
        <v>10023</v>
      </c>
      <c r="F58" s="3070">
        <f t="shared" ca="1" si="1"/>
        <v>127.37</v>
      </c>
      <c r="G58" s="3070">
        <f t="shared" ca="1" si="2"/>
        <v>10023</v>
      </c>
    </row>
    <row r="59" spans="1:7">
      <c r="A59" s="3057">
        <v>58</v>
      </c>
      <c r="B59" s="3058" t="s">
        <v>3417</v>
      </c>
      <c r="C59" s="3059">
        <v>118.95</v>
      </c>
      <c r="D59" s="3060">
        <f t="shared" ca="1" si="0"/>
        <v>119.22</v>
      </c>
      <c r="E59" s="3060">
        <f ca="1">结果表!$G$20</f>
        <v>10023</v>
      </c>
      <c r="F59" s="3070">
        <f t="shared" ca="1" si="1"/>
        <v>119.22</v>
      </c>
      <c r="G59" s="3070">
        <f t="shared" ca="1" si="2"/>
        <v>10023</v>
      </c>
    </row>
    <row r="60" spans="1:7">
      <c r="A60" s="3057">
        <v>59</v>
      </c>
      <c r="B60" s="3058" t="s">
        <v>3418</v>
      </c>
      <c r="C60" s="3059">
        <v>118.95</v>
      </c>
      <c r="D60" s="3060">
        <f t="shared" ca="1" si="0"/>
        <v>119.22</v>
      </c>
      <c r="E60" s="3060">
        <f ca="1">结果表!$G$20</f>
        <v>10023</v>
      </c>
      <c r="F60" s="3070">
        <f t="shared" ca="1" si="1"/>
        <v>119.22</v>
      </c>
      <c r="G60" s="3070">
        <f t="shared" ca="1" si="2"/>
        <v>10023</v>
      </c>
    </row>
    <row r="61" spans="1:7">
      <c r="A61" s="3057">
        <v>60</v>
      </c>
      <c r="B61" s="3058" t="s">
        <v>3419</v>
      </c>
      <c r="C61" s="3059">
        <v>127.08</v>
      </c>
      <c r="D61" s="3060">
        <f t="shared" ca="1" si="0"/>
        <v>127.37</v>
      </c>
      <c r="E61" s="3060">
        <f ca="1">结果表!$G$20</f>
        <v>10023</v>
      </c>
      <c r="F61" s="3070">
        <f t="shared" ca="1" si="1"/>
        <v>127.37</v>
      </c>
      <c r="G61" s="3070">
        <f t="shared" ca="1" si="2"/>
        <v>10023</v>
      </c>
    </row>
    <row r="62" spans="1:7">
      <c r="A62" s="3057">
        <v>61</v>
      </c>
      <c r="B62" s="3058" t="s">
        <v>3420</v>
      </c>
      <c r="C62" s="3059">
        <v>127.08</v>
      </c>
      <c r="D62" s="3060">
        <f t="shared" ca="1" si="0"/>
        <v>127.37</v>
      </c>
      <c r="E62" s="3060">
        <f ca="1">结果表!$G$20</f>
        <v>10023</v>
      </c>
      <c r="F62" s="3070">
        <f t="shared" ca="1" si="1"/>
        <v>127.37</v>
      </c>
      <c r="G62" s="3070">
        <f t="shared" ca="1" si="2"/>
        <v>10023</v>
      </c>
    </row>
    <row r="63" spans="1:7">
      <c r="A63" s="3057">
        <v>62</v>
      </c>
      <c r="B63" s="3058" t="s">
        <v>3421</v>
      </c>
      <c r="C63" s="3059">
        <v>118.95</v>
      </c>
      <c r="D63" s="3060">
        <f t="shared" ca="1" si="0"/>
        <v>119.22</v>
      </c>
      <c r="E63" s="3060">
        <f ca="1">结果表!$G$20</f>
        <v>10023</v>
      </c>
      <c r="F63" s="3070">
        <f t="shared" ca="1" si="1"/>
        <v>119.22</v>
      </c>
      <c r="G63" s="3070">
        <f t="shared" ca="1" si="2"/>
        <v>10023</v>
      </c>
    </row>
    <row r="64" spans="1:7">
      <c r="A64" s="3057">
        <v>63</v>
      </c>
      <c r="B64" s="3058" t="s">
        <v>3422</v>
      </c>
      <c r="C64" s="3059">
        <v>118.95</v>
      </c>
      <c r="D64" s="3060">
        <f t="shared" ca="1" si="0"/>
        <v>119.22</v>
      </c>
      <c r="E64" s="3060">
        <f ca="1">结果表!$G$20</f>
        <v>10023</v>
      </c>
      <c r="F64" s="3070">
        <f t="shared" ca="1" si="1"/>
        <v>119.22</v>
      </c>
      <c r="G64" s="3070">
        <f t="shared" ca="1" si="2"/>
        <v>10023</v>
      </c>
    </row>
    <row r="65" spans="1:7">
      <c r="A65" s="3057">
        <v>64</v>
      </c>
      <c r="B65" s="3058" t="s">
        <v>3423</v>
      </c>
      <c r="C65" s="3059">
        <v>127.08</v>
      </c>
      <c r="D65" s="3060">
        <f t="shared" ca="1" si="0"/>
        <v>127.37</v>
      </c>
      <c r="E65" s="3060">
        <f ca="1">结果表!$G$20</f>
        <v>10023</v>
      </c>
      <c r="F65" s="3070">
        <f t="shared" ca="1" si="1"/>
        <v>127.37</v>
      </c>
      <c r="G65" s="3070">
        <f t="shared" ca="1" si="2"/>
        <v>10023</v>
      </c>
    </row>
    <row r="66" spans="1:7">
      <c r="A66" s="3057">
        <v>65</v>
      </c>
      <c r="B66" s="3058" t="s">
        <v>3424</v>
      </c>
      <c r="C66" s="3059">
        <v>127.08</v>
      </c>
      <c r="D66" s="3060">
        <f t="shared" ca="1" si="0"/>
        <v>127.37</v>
      </c>
      <c r="E66" s="3060">
        <f ca="1">结果表!$G$20</f>
        <v>10023</v>
      </c>
      <c r="F66" s="3070">
        <f t="shared" ca="1" si="1"/>
        <v>127.37</v>
      </c>
      <c r="G66" s="3070">
        <f t="shared" ca="1" si="2"/>
        <v>10023</v>
      </c>
    </row>
    <row r="67" spans="1:7">
      <c r="A67" s="3057">
        <v>66</v>
      </c>
      <c r="B67" s="3058" t="s">
        <v>3425</v>
      </c>
      <c r="C67" s="3059">
        <v>118.95</v>
      </c>
      <c r="D67" s="3060">
        <f t="shared" ref="D67:D80" ca="1" si="3">ROUND(E67*C67/10000,2)</f>
        <v>119.22</v>
      </c>
      <c r="E67" s="3060">
        <f ca="1">结果表!$G$20</f>
        <v>10023</v>
      </c>
      <c r="F67" s="3070">
        <f t="shared" ref="F67:F130" ca="1" si="4">D67</f>
        <v>119.22</v>
      </c>
      <c r="G67" s="3070">
        <f t="shared" ref="G67:G130" ca="1" si="5">E67</f>
        <v>10023</v>
      </c>
    </row>
    <row r="68" spans="1:7">
      <c r="A68" s="3057">
        <v>67</v>
      </c>
      <c r="B68" s="3058" t="s">
        <v>3426</v>
      </c>
      <c r="C68" s="3059">
        <v>118.95</v>
      </c>
      <c r="D68" s="3060">
        <f t="shared" ca="1" si="3"/>
        <v>119.22</v>
      </c>
      <c r="E68" s="3060">
        <f ca="1">结果表!$G$20</f>
        <v>10023</v>
      </c>
      <c r="F68" s="3070">
        <f t="shared" ca="1" si="4"/>
        <v>119.22</v>
      </c>
      <c r="G68" s="3070">
        <f t="shared" ca="1" si="5"/>
        <v>10023</v>
      </c>
    </row>
    <row r="69" spans="1:7">
      <c r="A69" s="3057">
        <v>68</v>
      </c>
      <c r="B69" s="3058" t="s">
        <v>3427</v>
      </c>
      <c r="C69" s="3059">
        <v>127.08</v>
      </c>
      <c r="D69" s="3060">
        <f t="shared" ca="1" si="3"/>
        <v>127.37</v>
      </c>
      <c r="E69" s="3060">
        <f ca="1">结果表!$G$20</f>
        <v>10023</v>
      </c>
      <c r="F69" s="3070">
        <f t="shared" ca="1" si="4"/>
        <v>127.37</v>
      </c>
      <c r="G69" s="3070">
        <f t="shared" ca="1" si="5"/>
        <v>10023</v>
      </c>
    </row>
    <row r="70" spans="1:7">
      <c r="A70" s="3057">
        <v>69</v>
      </c>
      <c r="B70" s="3058" t="s">
        <v>3428</v>
      </c>
      <c r="C70" s="3059">
        <v>127.08</v>
      </c>
      <c r="D70" s="3060">
        <f t="shared" ca="1" si="3"/>
        <v>127.37</v>
      </c>
      <c r="E70" s="3060">
        <f ca="1">结果表!$G$20</f>
        <v>10023</v>
      </c>
      <c r="F70" s="3070">
        <f t="shared" ca="1" si="4"/>
        <v>127.37</v>
      </c>
      <c r="G70" s="3070">
        <f t="shared" ca="1" si="5"/>
        <v>10023</v>
      </c>
    </row>
    <row r="71" spans="1:7">
      <c r="A71" s="3057">
        <v>70</v>
      </c>
      <c r="B71" s="3058" t="s">
        <v>3429</v>
      </c>
      <c r="C71" s="3059">
        <v>118.95</v>
      </c>
      <c r="D71" s="3060">
        <f t="shared" ca="1" si="3"/>
        <v>119.22</v>
      </c>
      <c r="E71" s="3060">
        <f ca="1">结果表!$G$20</f>
        <v>10023</v>
      </c>
      <c r="F71" s="3070">
        <f t="shared" ca="1" si="4"/>
        <v>119.22</v>
      </c>
      <c r="G71" s="3070">
        <f t="shared" ca="1" si="5"/>
        <v>10023</v>
      </c>
    </row>
    <row r="72" spans="1:7">
      <c r="A72" s="3057">
        <v>71</v>
      </c>
      <c r="B72" s="3058" t="s">
        <v>3430</v>
      </c>
      <c r="C72" s="3059">
        <v>118.95</v>
      </c>
      <c r="D72" s="3060">
        <f t="shared" ca="1" si="3"/>
        <v>119.22</v>
      </c>
      <c r="E72" s="3060">
        <f ca="1">结果表!$G$20</f>
        <v>10023</v>
      </c>
      <c r="F72" s="3070">
        <f t="shared" ca="1" si="4"/>
        <v>119.22</v>
      </c>
      <c r="G72" s="3070">
        <f t="shared" ca="1" si="5"/>
        <v>10023</v>
      </c>
    </row>
    <row r="73" spans="1:7">
      <c r="A73" s="3057">
        <v>72</v>
      </c>
      <c r="B73" s="3058" t="s">
        <v>3431</v>
      </c>
      <c r="C73" s="3059">
        <v>127.08</v>
      </c>
      <c r="D73" s="3060">
        <f t="shared" ca="1" si="3"/>
        <v>127.37</v>
      </c>
      <c r="E73" s="3060">
        <f ca="1">结果表!$G$20</f>
        <v>10023</v>
      </c>
      <c r="F73" s="3070">
        <f t="shared" ca="1" si="4"/>
        <v>127.37</v>
      </c>
      <c r="G73" s="3070">
        <f t="shared" ca="1" si="5"/>
        <v>10023</v>
      </c>
    </row>
    <row r="74" spans="1:7">
      <c r="A74" s="3057">
        <v>73</v>
      </c>
      <c r="B74" s="3058" t="s">
        <v>3432</v>
      </c>
      <c r="C74" s="3059">
        <v>127.08</v>
      </c>
      <c r="D74" s="3060">
        <f t="shared" ca="1" si="3"/>
        <v>127.37</v>
      </c>
      <c r="E74" s="3060">
        <f ca="1">结果表!$G$20</f>
        <v>10023</v>
      </c>
      <c r="F74" s="3070">
        <f t="shared" ca="1" si="4"/>
        <v>127.37</v>
      </c>
      <c r="G74" s="3070">
        <f t="shared" ca="1" si="5"/>
        <v>10023</v>
      </c>
    </row>
    <row r="75" spans="1:7">
      <c r="A75" s="3057">
        <v>74</v>
      </c>
      <c r="B75" s="3058" t="s">
        <v>3433</v>
      </c>
      <c r="C75" s="3059">
        <v>118.95</v>
      </c>
      <c r="D75" s="3060">
        <f t="shared" ca="1" si="3"/>
        <v>119.22</v>
      </c>
      <c r="E75" s="3060">
        <f ca="1">结果表!$G$20</f>
        <v>10023</v>
      </c>
      <c r="F75" s="3070">
        <f t="shared" ca="1" si="4"/>
        <v>119.22</v>
      </c>
      <c r="G75" s="3070">
        <f t="shared" ca="1" si="5"/>
        <v>10023</v>
      </c>
    </row>
    <row r="76" spans="1:7">
      <c r="A76" s="3057">
        <v>75</v>
      </c>
      <c r="B76" s="3058" t="s">
        <v>3434</v>
      </c>
      <c r="C76" s="3059">
        <v>118.95</v>
      </c>
      <c r="D76" s="3060">
        <f t="shared" ca="1" si="3"/>
        <v>119.22</v>
      </c>
      <c r="E76" s="3060">
        <f ca="1">结果表!$G$20</f>
        <v>10023</v>
      </c>
      <c r="F76" s="3070">
        <f t="shared" ca="1" si="4"/>
        <v>119.22</v>
      </c>
      <c r="G76" s="3070">
        <f t="shared" ca="1" si="5"/>
        <v>10023</v>
      </c>
    </row>
    <row r="77" spans="1:7">
      <c r="A77" s="3057">
        <v>76</v>
      </c>
      <c r="B77" s="3058" t="s">
        <v>3435</v>
      </c>
      <c r="C77" s="3059">
        <v>127.08</v>
      </c>
      <c r="D77" s="3060">
        <f t="shared" ca="1" si="3"/>
        <v>127.37</v>
      </c>
      <c r="E77" s="3060">
        <f ca="1">结果表!$G$20</f>
        <v>10023</v>
      </c>
      <c r="F77" s="3070">
        <f t="shared" ca="1" si="4"/>
        <v>127.37</v>
      </c>
      <c r="G77" s="3070">
        <f t="shared" ca="1" si="5"/>
        <v>10023</v>
      </c>
    </row>
    <row r="78" spans="1:7">
      <c r="A78" s="3057">
        <v>77</v>
      </c>
      <c r="B78" s="3058" t="s">
        <v>3436</v>
      </c>
      <c r="C78" s="3059">
        <v>127.08</v>
      </c>
      <c r="D78" s="3060">
        <f t="shared" ca="1" si="3"/>
        <v>127.37</v>
      </c>
      <c r="E78" s="3060">
        <f ca="1">结果表!$G$20</f>
        <v>10023</v>
      </c>
      <c r="F78" s="3070">
        <f t="shared" ca="1" si="4"/>
        <v>127.37</v>
      </c>
      <c r="G78" s="3070">
        <f t="shared" ca="1" si="5"/>
        <v>10023</v>
      </c>
    </row>
    <row r="79" spans="1:7">
      <c r="A79" s="3057">
        <v>78</v>
      </c>
      <c r="B79" s="3058" t="s">
        <v>3437</v>
      </c>
      <c r="C79" s="3059">
        <v>118.95</v>
      </c>
      <c r="D79" s="3060">
        <f t="shared" ca="1" si="3"/>
        <v>119.22</v>
      </c>
      <c r="E79" s="3060">
        <f ca="1">结果表!$G$20</f>
        <v>10023</v>
      </c>
      <c r="F79" s="3070">
        <f t="shared" ca="1" si="4"/>
        <v>119.22</v>
      </c>
      <c r="G79" s="3070">
        <f t="shared" ca="1" si="5"/>
        <v>10023</v>
      </c>
    </row>
    <row r="80" spans="1:7">
      <c r="A80" s="3057">
        <v>79</v>
      </c>
      <c r="B80" s="3058" t="s">
        <v>3438</v>
      </c>
      <c r="C80" s="3059">
        <v>118.95</v>
      </c>
      <c r="D80" s="3060">
        <f t="shared" ca="1" si="3"/>
        <v>119.22</v>
      </c>
      <c r="E80" s="3060">
        <f ca="1">结果表!$G$20</f>
        <v>10023</v>
      </c>
      <c r="F80" s="3070">
        <f t="shared" ca="1" si="4"/>
        <v>119.22</v>
      </c>
      <c r="G80" s="3070">
        <f t="shared" ca="1" si="5"/>
        <v>10023</v>
      </c>
    </row>
    <row r="81" spans="1:7">
      <c r="A81" s="3057">
        <v>80</v>
      </c>
      <c r="B81" s="3058" t="s">
        <v>3439</v>
      </c>
      <c r="C81" s="3059">
        <v>127.08</v>
      </c>
      <c r="D81" s="3060">
        <f ca="1">ROUND(E81*C81/10000,2)</f>
        <v>127.37</v>
      </c>
      <c r="E81" s="3060">
        <f ca="1">结果表!$G$20</f>
        <v>10023</v>
      </c>
      <c r="F81" s="3070">
        <f t="shared" ca="1" si="4"/>
        <v>127.37</v>
      </c>
      <c r="G81" s="3070">
        <f t="shared" ca="1" si="5"/>
        <v>10023</v>
      </c>
    </row>
    <row r="82" spans="1:7">
      <c r="A82" s="3317" t="s">
        <v>3322</v>
      </c>
      <c r="B82" s="3317"/>
      <c r="C82" s="3054">
        <f>SUM(C2:C81)</f>
        <v>9841.1999999999989</v>
      </c>
      <c r="D82" s="3067">
        <f ca="1">SUM(D2:D81)</f>
        <v>9863.6</v>
      </c>
      <c r="E82" s="3060">
        <f ca="1">结果表!$G$20</f>
        <v>10023</v>
      </c>
      <c r="F82" s="3070">
        <f t="shared" ca="1" si="4"/>
        <v>9863.6</v>
      </c>
      <c r="G82" s="3070">
        <f t="shared" ca="1" si="5"/>
        <v>10023</v>
      </c>
    </row>
    <row r="83" spans="1:7">
      <c r="A83" s="3057">
        <v>1</v>
      </c>
      <c r="B83" s="3058" t="s">
        <v>3440</v>
      </c>
      <c r="C83" s="3059">
        <v>117.61</v>
      </c>
      <c r="D83" s="3060">
        <f ca="1">ROUND(E83*C83/10000,2)</f>
        <v>117.88</v>
      </c>
      <c r="E83" s="3060">
        <f ca="1">结果表!$G$20</f>
        <v>10023</v>
      </c>
      <c r="F83" s="3070">
        <f t="shared" ca="1" si="4"/>
        <v>117.88</v>
      </c>
      <c r="G83" s="3070">
        <f t="shared" ca="1" si="5"/>
        <v>10023</v>
      </c>
    </row>
    <row r="84" spans="1:7">
      <c r="A84" s="3057">
        <v>2</v>
      </c>
      <c r="B84" s="3058" t="s">
        <v>3441</v>
      </c>
      <c r="C84" s="3059">
        <v>100.34</v>
      </c>
      <c r="D84" s="3060">
        <f t="shared" ref="D84:D147" ca="1" si="6">ROUND(E84*C84/10000,2)</f>
        <v>100.57</v>
      </c>
      <c r="E84" s="3060">
        <f ca="1">结果表!$G$20</f>
        <v>10023</v>
      </c>
      <c r="F84" s="3070">
        <f t="shared" ca="1" si="4"/>
        <v>100.57</v>
      </c>
      <c r="G84" s="3070">
        <f t="shared" ca="1" si="5"/>
        <v>10023</v>
      </c>
    </row>
    <row r="85" spans="1:7">
      <c r="A85" s="3057">
        <v>3</v>
      </c>
      <c r="B85" s="3058" t="s">
        <v>3442</v>
      </c>
      <c r="C85" s="3059">
        <v>100.34</v>
      </c>
      <c r="D85" s="3060">
        <f t="shared" ca="1" si="6"/>
        <v>100.57</v>
      </c>
      <c r="E85" s="3060">
        <f ca="1">结果表!$G$20</f>
        <v>10023</v>
      </c>
      <c r="F85" s="3070">
        <f t="shared" ca="1" si="4"/>
        <v>100.57</v>
      </c>
      <c r="G85" s="3070">
        <f t="shared" ca="1" si="5"/>
        <v>10023</v>
      </c>
    </row>
    <row r="86" spans="1:7">
      <c r="A86" s="3057">
        <v>4</v>
      </c>
      <c r="B86" s="3058" t="s">
        <v>3443</v>
      </c>
      <c r="C86" s="3059">
        <v>117.61</v>
      </c>
      <c r="D86" s="3060">
        <f t="shared" ca="1" si="6"/>
        <v>117.88</v>
      </c>
      <c r="E86" s="3060">
        <f ca="1">结果表!$G$20</f>
        <v>10023</v>
      </c>
      <c r="F86" s="3070">
        <f t="shared" ca="1" si="4"/>
        <v>117.88</v>
      </c>
      <c r="G86" s="3070">
        <f t="shared" ca="1" si="5"/>
        <v>10023</v>
      </c>
    </row>
    <row r="87" spans="1:7">
      <c r="A87" s="3057">
        <v>5</v>
      </c>
      <c r="B87" s="3058" t="s">
        <v>3444</v>
      </c>
      <c r="C87" s="3059">
        <v>117.61</v>
      </c>
      <c r="D87" s="3060">
        <f t="shared" ca="1" si="6"/>
        <v>117.88</v>
      </c>
      <c r="E87" s="3060">
        <f ca="1">结果表!$G$20</f>
        <v>10023</v>
      </c>
      <c r="F87" s="3070">
        <f t="shared" ca="1" si="4"/>
        <v>117.88</v>
      </c>
      <c r="G87" s="3070">
        <f t="shared" ca="1" si="5"/>
        <v>10023</v>
      </c>
    </row>
    <row r="88" spans="1:7">
      <c r="A88" s="3057">
        <v>6</v>
      </c>
      <c r="B88" s="3058" t="s">
        <v>3445</v>
      </c>
      <c r="C88" s="3059">
        <v>100.34</v>
      </c>
      <c r="D88" s="3060">
        <f t="shared" ca="1" si="6"/>
        <v>100.57</v>
      </c>
      <c r="E88" s="3060">
        <f ca="1">结果表!$G$20</f>
        <v>10023</v>
      </c>
      <c r="F88" s="3070">
        <f t="shared" ca="1" si="4"/>
        <v>100.57</v>
      </c>
      <c r="G88" s="3070">
        <f t="shared" ca="1" si="5"/>
        <v>10023</v>
      </c>
    </row>
    <row r="89" spans="1:7">
      <c r="A89" s="3057">
        <v>7</v>
      </c>
      <c r="B89" s="3058" t="s">
        <v>3446</v>
      </c>
      <c r="C89" s="3059">
        <v>100.34</v>
      </c>
      <c r="D89" s="3060">
        <f t="shared" ca="1" si="6"/>
        <v>100.57</v>
      </c>
      <c r="E89" s="3060">
        <f ca="1">结果表!$G$20</f>
        <v>10023</v>
      </c>
      <c r="F89" s="3070">
        <f t="shared" ca="1" si="4"/>
        <v>100.57</v>
      </c>
      <c r="G89" s="3070">
        <f t="shared" ca="1" si="5"/>
        <v>10023</v>
      </c>
    </row>
    <row r="90" spans="1:7">
      <c r="A90" s="3057">
        <v>8</v>
      </c>
      <c r="B90" s="3058" t="s">
        <v>3447</v>
      </c>
      <c r="C90" s="3059">
        <v>117.61</v>
      </c>
      <c r="D90" s="3060">
        <f t="shared" ca="1" si="6"/>
        <v>117.88</v>
      </c>
      <c r="E90" s="3060">
        <f ca="1">结果表!$G$20</f>
        <v>10023</v>
      </c>
      <c r="F90" s="3070">
        <f t="shared" ca="1" si="4"/>
        <v>117.88</v>
      </c>
      <c r="G90" s="3070">
        <f t="shared" ca="1" si="5"/>
        <v>10023</v>
      </c>
    </row>
    <row r="91" spans="1:7">
      <c r="A91" s="3057">
        <v>9</v>
      </c>
      <c r="B91" s="3058" t="s">
        <v>3448</v>
      </c>
      <c r="C91" s="3059">
        <v>117.61</v>
      </c>
      <c r="D91" s="3060">
        <f t="shared" ca="1" si="6"/>
        <v>117.88</v>
      </c>
      <c r="E91" s="3060">
        <f ca="1">结果表!$G$20</f>
        <v>10023</v>
      </c>
      <c r="F91" s="3070">
        <f t="shared" ca="1" si="4"/>
        <v>117.88</v>
      </c>
      <c r="G91" s="3070">
        <f t="shared" ca="1" si="5"/>
        <v>10023</v>
      </c>
    </row>
    <row r="92" spans="1:7">
      <c r="A92" s="3057">
        <v>10</v>
      </c>
      <c r="B92" s="3058" t="s">
        <v>3449</v>
      </c>
      <c r="C92" s="3059">
        <v>100.34</v>
      </c>
      <c r="D92" s="3060">
        <f t="shared" ca="1" si="6"/>
        <v>100.57</v>
      </c>
      <c r="E92" s="3060">
        <f ca="1">结果表!$G$20</f>
        <v>10023</v>
      </c>
      <c r="F92" s="3070">
        <f t="shared" ca="1" si="4"/>
        <v>100.57</v>
      </c>
      <c r="G92" s="3070">
        <f t="shared" ca="1" si="5"/>
        <v>10023</v>
      </c>
    </row>
    <row r="93" spans="1:7">
      <c r="A93" s="3057">
        <v>11</v>
      </c>
      <c r="B93" s="3058" t="s">
        <v>3450</v>
      </c>
      <c r="C93" s="3059">
        <v>100.34</v>
      </c>
      <c r="D93" s="3060">
        <f t="shared" ca="1" si="6"/>
        <v>100.57</v>
      </c>
      <c r="E93" s="3060">
        <f ca="1">结果表!$G$20</f>
        <v>10023</v>
      </c>
      <c r="F93" s="3070">
        <f t="shared" ca="1" si="4"/>
        <v>100.57</v>
      </c>
      <c r="G93" s="3070">
        <f t="shared" ca="1" si="5"/>
        <v>10023</v>
      </c>
    </row>
    <row r="94" spans="1:7">
      <c r="A94" s="3057">
        <v>12</v>
      </c>
      <c r="B94" s="3058" t="s">
        <v>3451</v>
      </c>
      <c r="C94" s="3059">
        <v>117.61</v>
      </c>
      <c r="D94" s="3060">
        <f t="shared" ca="1" si="6"/>
        <v>117.88</v>
      </c>
      <c r="E94" s="3060">
        <f ca="1">结果表!$G$20</f>
        <v>10023</v>
      </c>
      <c r="F94" s="3070">
        <f t="shared" ca="1" si="4"/>
        <v>117.88</v>
      </c>
      <c r="G94" s="3070">
        <f t="shared" ca="1" si="5"/>
        <v>10023</v>
      </c>
    </row>
    <row r="95" spans="1:7">
      <c r="A95" s="3057">
        <v>13</v>
      </c>
      <c r="B95" s="3058" t="s">
        <v>3452</v>
      </c>
      <c r="C95" s="3059">
        <v>117.61</v>
      </c>
      <c r="D95" s="3060">
        <f t="shared" ca="1" si="6"/>
        <v>117.88</v>
      </c>
      <c r="E95" s="3060">
        <f ca="1">结果表!$G$20</f>
        <v>10023</v>
      </c>
      <c r="F95" s="3070">
        <f t="shared" ca="1" si="4"/>
        <v>117.88</v>
      </c>
      <c r="G95" s="3070">
        <f t="shared" ca="1" si="5"/>
        <v>10023</v>
      </c>
    </row>
    <row r="96" spans="1:7">
      <c r="A96" s="3057">
        <v>14</v>
      </c>
      <c r="B96" s="3058" t="s">
        <v>3453</v>
      </c>
      <c r="C96" s="3059">
        <v>100.34</v>
      </c>
      <c r="D96" s="3060">
        <f t="shared" ca="1" si="6"/>
        <v>100.57</v>
      </c>
      <c r="E96" s="3060">
        <f ca="1">结果表!$G$20</f>
        <v>10023</v>
      </c>
      <c r="F96" s="3070">
        <f t="shared" ca="1" si="4"/>
        <v>100.57</v>
      </c>
      <c r="G96" s="3070">
        <f t="shared" ca="1" si="5"/>
        <v>10023</v>
      </c>
    </row>
    <row r="97" spans="1:7">
      <c r="A97" s="3057">
        <v>15</v>
      </c>
      <c r="B97" s="3058" t="s">
        <v>3454</v>
      </c>
      <c r="C97" s="3059">
        <v>100.34</v>
      </c>
      <c r="D97" s="3060">
        <f t="shared" ca="1" si="6"/>
        <v>100.57</v>
      </c>
      <c r="E97" s="3060">
        <f ca="1">结果表!$G$20</f>
        <v>10023</v>
      </c>
      <c r="F97" s="3070">
        <f t="shared" ca="1" si="4"/>
        <v>100.57</v>
      </c>
      <c r="G97" s="3070">
        <f t="shared" ca="1" si="5"/>
        <v>10023</v>
      </c>
    </row>
    <row r="98" spans="1:7">
      <c r="A98" s="3057">
        <v>16</v>
      </c>
      <c r="B98" s="3058" t="s">
        <v>3455</v>
      </c>
      <c r="C98" s="3059">
        <v>117.61</v>
      </c>
      <c r="D98" s="3060">
        <f t="shared" ca="1" si="6"/>
        <v>117.88</v>
      </c>
      <c r="E98" s="3060">
        <f ca="1">结果表!$G$20</f>
        <v>10023</v>
      </c>
      <c r="F98" s="3070">
        <f t="shared" ca="1" si="4"/>
        <v>117.88</v>
      </c>
      <c r="G98" s="3070">
        <f t="shared" ca="1" si="5"/>
        <v>10023</v>
      </c>
    </row>
    <row r="99" spans="1:7">
      <c r="A99" s="3057">
        <v>17</v>
      </c>
      <c r="B99" s="3058" t="s">
        <v>3456</v>
      </c>
      <c r="C99" s="3059">
        <v>117.61</v>
      </c>
      <c r="D99" s="3060">
        <f t="shared" ca="1" si="6"/>
        <v>117.88</v>
      </c>
      <c r="E99" s="3060">
        <f ca="1">结果表!$G$20</f>
        <v>10023</v>
      </c>
      <c r="F99" s="3070">
        <f t="shared" ca="1" si="4"/>
        <v>117.88</v>
      </c>
      <c r="G99" s="3070">
        <f t="shared" ca="1" si="5"/>
        <v>10023</v>
      </c>
    </row>
    <row r="100" spans="1:7">
      <c r="A100" s="3057">
        <v>18</v>
      </c>
      <c r="B100" s="3058" t="s">
        <v>3457</v>
      </c>
      <c r="C100" s="3059">
        <v>100.34</v>
      </c>
      <c r="D100" s="3060">
        <f t="shared" ca="1" si="6"/>
        <v>100.57</v>
      </c>
      <c r="E100" s="3060">
        <f ca="1">结果表!$G$20</f>
        <v>10023</v>
      </c>
      <c r="F100" s="3070">
        <f t="shared" ca="1" si="4"/>
        <v>100.57</v>
      </c>
      <c r="G100" s="3070">
        <f t="shared" ca="1" si="5"/>
        <v>10023</v>
      </c>
    </row>
    <row r="101" spans="1:7">
      <c r="A101" s="3057">
        <v>19</v>
      </c>
      <c r="B101" s="3058" t="s">
        <v>3458</v>
      </c>
      <c r="C101" s="3059">
        <v>100.34</v>
      </c>
      <c r="D101" s="3060">
        <f t="shared" ca="1" si="6"/>
        <v>100.57</v>
      </c>
      <c r="E101" s="3060">
        <f ca="1">结果表!$G$20</f>
        <v>10023</v>
      </c>
      <c r="F101" s="3070">
        <f t="shared" ca="1" si="4"/>
        <v>100.57</v>
      </c>
      <c r="G101" s="3070">
        <f t="shared" ca="1" si="5"/>
        <v>10023</v>
      </c>
    </row>
    <row r="102" spans="1:7">
      <c r="A102" s="3057">
        <v>20</v>
      </c>
      <c r="B102" s="3058" t="s">
        <v>3459</v>
      </c>
      <c r="C102" s="3059">
        <v>117.61</v>
      </c>
      <c r="D102" s="3060">
        <f t="shared" ca="1" si="6"/>
        <v>117.88</v>
      </c>
      <c r="E102" s="3060">
        <f ca="1">结果表!$G$20</f>
        <v>10023</v>
      </c>
      <c r="F102" s="3070">
        <f t="shared" ca="1" si="4"/>
        <v>117.88</v>
      </c>
      <c r="G102" s="3070">
        <f t="shared" ca="1" si="5"/>
        <v>10023</v>
      </c>
    </row>
    <row r="103" spans="1:7">
      <c r="A103" s="3057">
        <v>21</v>
      </c>
      <c r="B103" s="3058" t="s">
        <v>3460</v>
      </c>
      <c r="C103" s="3059">
        <v>117.61</v>
      </c>
      <c r="D103" s="3060">
        <f t="shared" ca="1" si="6"/>
        <v>117.88</v>
      </c>
      <c r="E103" s="3060">
        <f ca="1">结果表!$G$20</f>
        <v>10023</v>
      </c>
      <c r="F103" s="3070">
        <f t="shared" ca="1" si="4"/>
        <v>117.88</v>
      </c>
      <c r="G103" s="3070">
        <f t="shared" ca="1" si="5"/>
        <v>10023</v>
      </c>
    </row>
    <row r="104" spans="1:7">
      <c r="A104" s="3057">
        <v>22</v>
      </c>
      <c r="B104" s="3058" t="s">
        <v>3461</v>
      </c>
      <c r="C104" s="3059">
        <v>100.34</v>
      </c>
      <c r="D104" s="3060">
        <f t="shared" ca="1" si="6"/>
        <v>100.57</v>
      </c>
      <c r="E104" s="3060">
        <f ca="1">结果表!$G$20</f>
        <v>10023</v>
      </c>
      <c r="F104" s="3070">
        <f t="shared" ca="1" si="4"/>
        <v>100.57</v>
      </c>
      <c r="G104" s="3070">
        <f t="shared" ca="1" si="5"/>
        <v>10023</v>
      </c>
    </row>
    <row r="105" spans="1:7">
      <c r="A105" s="3057">
        <v>23</v>
      </c>
      <c r="B105" s="3058" t="s">
        <v>3462</v>
      </c>
      <c r="C105" s="3059">
        <v>100.34</v>
      </c>
      <c r="D105" s="3060">
        <f t="shared" ca="1" si="6"/>
        <v>100.57</v>
      </c>
      <c r="E105" s="3060">
        <f ca="1">结果表!$G$20</f>
        <v>10023</v>
      </c>
      <c r="F105" s="3070">
        <f t="shared" ca="1" si="4"/>
        <v>100.57</v>
      </c>
      <c r="G105" s="3070">
        <f t="shared" ca="1" si="5"/>
        <v>10023</v>
      </c>
    </row>
    <row r="106" spans="1:7">
      <c r="A106" s="3057">
        <v>24</v>
      </c>
      <c r="B106" s="3058" t="s">
        <v>3463</v>
      </c>
      <c r="C106" s="3059">
        <v>117.61</v>
      </c>
      <c r="D106" s="3060">
        <f t="shared" ca="1" si="6"/>
        <v>117.88</v>
      </c>
      <c r="E106" s="3060">
        <f ca="1">结果表!$G$20</f>
        <v>10023</v>
      </c>
      <c r="F106" s="3070">
        <f t="shared" ca="1" si="4"/>
        <v>117.88</v>
      </c>
      <c r="G106" s="3070">
        <f t="shared" ca="1" si="5"/>
        <v>10023</v>
      </c>
    </row>
    <row r="107" spans="1:7">
      <c r="A107" s="3057">
        <v>25</v>
      </c>
      <c r="B107" s="3058" t="s">
        <v>3464</v>
      </c>
      <c r="C107" s="3059">
        <v>117.61</v>
      </c>
      <c r="D107" s="3060">
        <f t="shared" ca="1" si="6"/>
        <v>117.88</v>
      </c>
      <c r="E107" s="3060">
        <f ca="1">结果表!$G$20</f>
        <v>10023</v>
      </c>
      <c r="F107" s="3070">
        <f t="shared" ca="1" si="4"/>
        <v>117.88</v>
      </c>
      <c r="G107" s="3070">
        <f t="shared" ca="1" si="5"/>
        <v>10023</v>
      </c>
    </row>
    <row r="108" spans="1:7">
      <c r="A108" s="3057">
        <v>26</v>
      </c>
      <c r="B108" s="3058" t="s">
        <v>3465</v>
      </c>
      <c r="C108" s="3059">
        <v>100.34</v>
      </c>
      <c r="D108" s="3060">
        <f t="shared" ca="1" si="6"/>
        <v>100.57</v>
      </c>
      <c r="E108" s="3060">
        <f ca="1">结果表!$G$20</f>
        <v>10023</v>
      </c>
      <c r="F108" s="3070">
        <f t="shared" ca="1" si="4"/>
        <v>100.57</v>
      </c>
      <c r="G108" s="3070">
        <f t="shared" ca="1" si="5"/>
        <v>10023</v>
      </c>
    </row>
    <row r="109" spans="1:7">
      <c r="A109" s="3057">
        <v>27</v>
      </c>
      <c r="B109" s="3058" t="s">
        <v>3466</v>
      </c>
      <c r="C109" s="3059">
        <v>100.34</v>
      </c>
      <c r="D109" s="3060">
        <f t="shared" ca="1" si="6"/>
        <v>100.57</v>
      </c>
      <c r="E109" s="3060">
        <f ca="1">结果表!$G$20</f>
        <v>10023</v>
      </c>
      <c r="F109" s="3070">
        <f t="shared" ca="1" si="4"/>
        <v>100.57</v>
      </c>
      <c r="G109" s="3070">
        <f t="shared" ca="1" si="5"/>
        <v>10023</v>
      </c>
    </row>
    <row r="110" spans="1:7">
      <c r="A110" s="3057">
        <v>28</v>
      </c>
      <c r="B110" s="3058" t="s">
        <v>3467</v>
      </c>
      <c r="C110" s="3059">
        <v>117.61</v>
      </c>
      <c r="D110" s="3060">
        <f t="shared" ca="1" si="6"/>
        <v>117.88</v>
      </c>
      <c r="E110" s="3060">
        <f ca="1">结果表!$G$20</f>
        <v>10023</v>
      </c>
      <c r="F110" s="3070">
        <f t="shared" ca="1" si="4"/>
        <v>117.88</v>
      </c>
      <c r="G110" s="3070">
        <f t="shared" ca="1" si="5"/>
        <v>10023</v>
      </c>
    </row>
    <row r="111" spans="1:7">
      <c r="A111" s="3057">
        <v>29</v>
      </c>
      <c r="B111" s="3058" t="s">
        <v>3468</v>
      </c>
      <c r="C111" s="3059">
        <v>117.61</v>
      </c>
      <c r="D111" s="3060">
        <f t="shared" ca="1" si="6"/>
        <v>117.88</v>
      </c>
      <c r="E111" s="3060">
        <f ca="1">结果表!$G$20</f>
        <v>10023</v>
      </c>
      <c r="F111" s="3070">
        <f t="shared" ca="1" si="4"/>
        <v>117.88</v>
      </c>
      <c r="G111" s="3070">
        <f t="shared" ca="1" si="5"/>
        <v>10023</v>
      </c>
    </row>
    <row r="112" spans="1:7">
      <c r="A112" s="3057">
        <v>30</v>
      </c>
      <c r="B112" s="3058" t="s">
        <v>3469</v>
      </c>
      <c r="C112" s="3059">
        <v>100.34</v>
      </c>
      <c r="D112" s="3060">
        <f t="shared" ca="1" si="6"/>
        <v>100.57</v>
      </c>
      <c r="E112" s="3060">
        <f ca="1">结果表!$G$20</f>
        <v>10023</v>
      </c>
      <c r="F112" s="3070">
        <f t="shared" ca="1" si="4"/>
        <v>100.57</v>
      </c>
      <c r="G112" s="3070">
        <f t="shared" ca="1" si="5"/>
        <v>10023</v>
      </c>
    </row>
    <row r="113" spans="1:7">
      <c r="A113" s="3057">
        <v>31</v>
      </c>
      <c r="B113" s="3058" t="s">
        <v>3470</v>
      </c>
      <c r="C113" s="3059">
        <v>100.34</v>
      </c>
      <c r="D113" s="3060">
        <f t="shared" ca="1" si="6"/>
        <v>100.57</v>
      </c>
      <c r="E113" s="3060">
        <f ca="1">结果表!$G$20</f>
        <v>10023</v>
      </c>
      <c r="F113" s="3070">
        <f t="shared" ca="1" si="4"/>
        <v>100.57</v>
      </c>
      <c r="G113" s="3070">
        <f t="shared" ca="1" si="5"/>
        <v>10023</v>
      </c>
    </row>
    <row r="114" spans="1:7">
      <c r="A114" s="3057">
        <v>32</v>
      </c>
      <c r="B114" s="3058" t="s">
        <v>3471</v>
      </c>
      <c r="C114" s="3059">
        <v>117.61</v>
      </c>
      <c r="D114" s="3060">
        <f t="shared" ca="1" si="6"/>
        <v>117.88</v>
      </c>
      <c r="E114" s="3060">
        <f ca="1">结果表!$G$20</f>
        <v>10023</v>
      </c>
      <c r="F114" s="3070">
        <f t="shared" ca="1" si="4"/>
        <v>117.88</v>
      </c>
      <c r="G114" s="3070">
        <f t="shared" ca="1" si="5"/>
        <v>10023</v>
      </c>
    </row>
    <row r="115" spans="1:7">
      <c r="A115" s="3057">
        <v>33</v>
      </c>
      <c r="B115" s="3058" t="s">
        <v>3472</v>
      </c>
      <c r="C115" s="3059">
        <v>117.61</v>
      </c>
      <c r="D115" s="3060">
        <f t="shared" ca="1" si="6"/>
        <v>117.88</v>
      </c>
      <c r="E115" s="3060">
        <f ca="1">结果表!$G$20</f>
        <v>10023</v>
      </c>
      <c r="F115" s="3070">
        <f t="shared" ca="1" si="4"/>
        <v>117.88</v>
      </c>
      <c r="G115" s="3070">
        <f t="shared" ca="1" si="5"/>
        <v>10023</v>
      </c>
    </row>
    <row r="116" spans="1:7">
      <c r="A116" s="3057">
        <v>34</v>
      </c>
      <c r="B116" s="3058" t="s">
        <v>3473</v>
      </c>
      <c r="C116" s="3059">
        <v>100.34</v>
      </c>
      <c r="D116" s="3060">
        <f t="shared" ca="1" si="6"/>
        <v>100.57</v>
      </c>
      <c r="E116" s="3060">
        <f ca="1">结果表!$G$20</f>
        <v>10023</v>
      </c>
      <c r="F116" s="3070">
        <f t="shared" ca="1" si="4"/>
        <v>100.57</v>
      </c>
      <c r="G116" s="3070">
        <f t="shared" ca="1" si="5"/>
        <v>10023</v>
      </c>
    </row>
    <row r="117" spans="1:7">
      <c r="A117" s="3057">
        <v>35</v>
      </c>
      <c r="B117" s="3058" t="s">
        <v>3474</v>
      </c>
      <c r="C117" s="3059">
        <v>100.34</v>
      </c>
      <c r="D117" s="3060">
        <f t="shared" ca="1" si="6"/>
        <v>100.57</v>
      </c>
      <c r="E117" s="3060">
        <f ca="1">结果表!$G$20</f>
        <v>10023</v>
      </c>
      <c r="F117" s="3070">
        <f t="shared" ca="1" si="4"/>
        <v>100.57</v>
      </c>
      <c r="G117" s="3070">
        <f t="shared" ca="1" si="5"/>
        <v>10023</v>
      </c>
    </row>
    <row r="118" spans="1:7">
      <c r="A118" s="3057">
        <v>36</v>
      </c>
      <c r="B118" s="3058" t="s">
        <v>3475</v>
      </c>
      <c r="C118" s="3059">
        <v>117.61</v>
      </c>
      <c r="D118" s="3060">
        <f t="shared" ca="1" si="6"/>
        <v>117.88</v>
      </c>
      <c r="E118" s="3060">
        <f ca="1">结果表!$G$20</f>
        <v>10023</v>
      </c>
      <c r="F118" s="3070">
        <f t="shared" ca="1" si="4"/>
        <v>117.88</v>
      </c>
      <c r="G118" s="3070">
        <f t="shared" ca="1" si="5"/>
        <v>10023</v>
      </c>
    </row>
    <row r="119" spans="1:7">
      <c r="A119" s="3057">
        <v>37</v>
      </c>
      <c r="B119" s="3058" t="s">
        <v>3476</v>
      </c>
      <c r="C119" s="3059">
        <v>117.61</v>
      </c>
      <c r="D119" s="3060">
        <f t="shared" ca="1" si="6"/>
        <v>117.88</v>
      </c>
      <c r="E119" s="3060">
        <f ca="1">结果表!$G$20</f>
        <v>10023</v>
      </c>
      <c r="F119" s="3070">
        <f t="shared" ca="1" si="4"/>
        <v>117.88</v>
      </c>
      <c r="G119" s="3070">
        <f t="shared" ca="1" si="5"/>
        <v>10023</v>
      </c>
    </row>
    <row r="120" spans="1:7">
      <c r="A120" s="3057">
        <v>38</v>
      </c>
      <c r="B120" s="3058" t="s">
        <v>3477</v>
      </c>
      <c r="C120" s="3059">
        <v>100.34</v>
      </c>
      <c r="D120" s="3060">
        <f t="shared" ca="1" si="6"/>
        <v>100.57</v>
      </c>
      <c r="E120" s="3060">
        <f ca="1">结果表!$G$20</f>
        <v>10023</v>
      </c>
      <c r="F120" s="3070">
        <f t="shared" ca="1" si="4"/>
        <v>100.57</v>
      </c>
      <c r="G120" s="3070">
        <f t="shared" ca="1" si="5"/>
        <v>10023</v>
      </c>
    </row>
    <row r="121" spans="1:7">
      <c r="A121" s="3057">
        <v>39</v>
      </c>
      <c r="B121" s="3058" t="s">
        <v>3478</v>
      </c>
      <c r="C121" s="3059">
        <v>100.34</v>
      </c>
      <c r="D121" s="3060">
        <f t="shared" ca="1" si="6"/>
        <v>100.57</v>
      </c>
      <c r="E121" s="3060">
        <f ca="1">结果表!$G$20</f>
        <v>10023</v>
      </c>
      <c r="F121" s="3070">
        <f t="shared" ca="1" si="4"/>
        <v>100.57</v>
      </c>
      <c r="G121" s="3070">
        <f t="shared" ca="1" si="5"/>
        <v>10023</v>
      </c>
    </row>
    <row r="122" spans="1:7">
      <c r="A122" s="3057">
        <v>40</v>
      </c>
      <c r="B122" s="3058" t="s">
        <v>3479</v>
      </c>
      <c r="C122" s="3059">
        <v>117.61</v>
      </c>
      <c r="D122" s="3060">
        <f t="shared" ca="1" si="6"/>
        <v>117.88</v>
      </c>
      <c r="E122" s="3060">
        <f ca="1">结果表!$G$20</f>
        <v>10023</v>
      </c>
      <c r="F122" s="3070">
        <f t="shared" ca="1" si="4"/>
        <v>117.88</v>
      </c>
      <c r="G122" s="3070">
        <f t="shared" ca="1" si="5"/>
        <v>10023</v>
      </c>
    </row>
    <row r="123" spans="1:7">
      <c r="A123" s="3057">
        <v>41</v>
      </c>
      <c r="B123" s="3058" t="s">
        <v>3480</v>
      </c>
      <c r="C123" s="3059">
        <v>117.61</v>
      </c>
      <c r="D123" s="3060">
        <f t="shared" ca="1" si="6"/>
        <v>117.88</v>
      </c>
      <c r="E123" s="3060">
        <f ca="1">结果表!$G$20</f>
        <v>10023</v>
      </c>
      <c r="F123" s="3070">
        <f t="shared" ca="1" si="4"/>
        <v>117.88</v>
      </c>
      <c r="G123" s="3070">
        <f t="shared" ca="1" si="5"/>
        <v>10023</v>
      </c>
    </row>
    <row r="124" spans="1:7">
      <c r="A124" s="3057">
        <v>42</v>
      </c>
      <c r="B124" s="3058" t="s">
        <v>3481</v>
      </c>
      <c r="C124" s="3059">
        <v>100.34</v>
      </c>
      <c r="D124" s="3060">
        <f t="shared" ca="1" si="6"/>
        <v>100.57</v>
      </c>
      <c r="E124" s="3060">
        <f ca="1">结果表!$G$20</f>
        <v>10023</v>
      </c>
      <c r="F124" s="3070">
        <f t="shared" ca="1" si="4"/>
        <v>100.57</v>
      </c>
      <c r="G124" s="3070">
        <f t="shared" ca="1" si="5"/>
        <v>10023</v>
      </c>
    </row>
    <row r="125" spans="1:7">
      <c r="A125" s="3057">
        <v>43</v>
      </c>
      <c r="B125" s="3058" t="s">
        <v>3482</v>
      </c>
      <c r="C125" s="3059">
        <v>100.34</v>
      </c>
      <c r="D125" s="3060">
        <f t="shared" ca="1" si="6"/>
        <v>100.57</v>
      </c>
      <c r="E125" s="3060">
        <f ca="1">结果表!$G$20</f>
        <v>10023</v>
      </c>
      <c r="F125" s="3070">
        <f t="shared" ca="1" si="4"/>
        <v>100.57</v>
      </c>
      <c r="G125" s="3070">
        <f t="shared" ca="1" si="5"/>
        <v>10023</v>
      </c>
    </row>
    <row r="126" spans="1:7">
      <c r="A126" s="3057">
        <v>44</v>
      </c>
      <c r="B126" s="3058" t="s">
        <v>3483</v>
      </c>
      <c r="C126" s="3059">
        <v>117.61</v>
      </c>
      <c r="D126" s="3060">
        <f t="shared" ca="1" si="6"/>
        <v>117.88</v>
      </c>
      <c r="E126" s="3060">
        <f ca="1">结果表!$G$20</f>
        <v>10023</v>
      </c>
      <c r="F126" s="3070">
        <f t="shared" ca="1" si="4"/>
        <v>117.88</v>
      </c>
      <c r="G126" s="3070">
        <f t="shared" ca="1" si="5"/>
        <v>10023</v>
      </c>
    </row>
    <row r="127" spans="1:7">
      <c r="A127" s="3057">
        <v>45</v>
      </c>
      <c r="B127" s="3058" t="s">
        <v>3484</v>
      </c>
      <c r="C127" s="3059">
        <v>117.61</v>
      </c>
      <c r="D127" s="3060">
        <f t="shared" ca="1" si="6"/>
        <v>117.88</v>
      </c>
      <c r="E127" s="3060">
        <f ca="1">结果表!$G$20</f>
        <v>10023</v>
      </c>
      <c r="F127" s="3070">
        <f t="shared" ca="1" si="4"/>
        <v>117.88</v>
      </c>
      <c r="G127" s="3070">
        <f t="shared" ca="1" si="5"/>
        <v>10023</v>
      </c>
    </row>
    <row r="128" spans="1:7">
      <c r="A128" s="3057">
        <v>46</v>
      </c>
      <c r="B128" s="3058" t="s">
        <v>3485</v>
      </c>
      <c r="C128" s="3059">
        <v>100.34</v>
      </c>
      <c r="D128" s="3060">
        <f t="shared" ca="1" si="6"/>
        <v>100.57</v>
      </c>
      <c r="E128" s="3060">
        <f ca="1">结果表!$G$20</f>
        <v>10023</v>
      </c>
      <c r="F128" s="3070">
        <f t="shared" ca="1" si="4"/>
        <v>100.57</v>
      </c>
      <c r="G128" s="3070">
        <f t="shared" ca="1" si="5"/>
        <v>10023</v>
      </c>
    </row>
    <row r="129" spans="1:7">
      <c r="A129" s="3057">
        <v>47</v>
      </c>
      <c r="B129" s="3058" t="s">
        <v>3486</v>
      </c>
      <c r="C129" s="3059">
        <v>100.34</v>
      </c>
      <c r="D129" s="3060">
        <f t="shared" ca="1" si="6"/>
        <v>100.57</v>
      </c>
      <c r="E129" s="3060">
        <f ca="1">结果表!$G$20</f>
        <v>10023</v>
      </c>
      <c r="F129" s="3070">
        <f t="shared" ca="1" si="4"/>
        <v>100.57</v>
      </c>
      <c r="G129" s="3070">
        <f t="shared" ca="1" si="5"/>
        <v>10023</v>
      </c>
    </row>
    <row r="130" spans="1:7">
      <c r="A130" s="3057">
        <v>48</v>
      </c>
      <c r="B130" s="3058" t="s">
        <v>3487</v>
      </c>
      <c r="C130" s="3059">
        <v>117.61</v>
      </c>
      <c r="D130" s="3060">
        <f t="shared" ca="1" si="6"/>
        <v>117.88</v>
      </c>
      <c r="E130" s="3060">
        <f ca="1">结果表!$G$20</f>
        <v>10023</v>
      </c>
      <c r="F130" s="3070">
        <f t="shared" ca="1" si="4"/>
        <v>117.88</v>
      </c>
      <c r="G130" s="3070">
        <f t="shared" ca="1" si="5"/>
        <v>10023</v>
      </c>
    </row>
    <row r="131" spans="1:7">
      <c r="A131" s="3057">
        <v>49</v>
      </c>
      <c r="B131" s="3058" t="s">
        <v>3488</v>
      </c>
      <c r="C131" s="3059">
        <v>117.61</v>
      </c>
      <c r="D131" s="3060">
        <f t="shared" ca="1" si="6"/>
        <v>117.88</v>
      </c>
      <c r="E131" s="3060">
        <f ca="1">结果表!$G$20</f>
        <v>10023</v>
      </c>
      <c r="F131" s="3070">
        <f t="shared" ref="F131:F167" ca="1" si="7">D131</f>
        <v>117.88</v>
      </c>
      <c r="G131" s="3070">
        <f t="shared" ref="G131:G167" ca="1" si="8">E131</f>
        <v>10023</v>
      </c>
    </row>
    <row r="132" spans="1:7">
      <c r="A132" s="3057">
        <v>50</v>
      </c>
      <c r="B132" s="3058" t="s">
        <v>3489</v>
      </c>
      <c r="C132" s="3059">
        <v>100.34</v>
      </c>
      <c r="D132" s="3060">
        <f t="shared" ca="1" si="6"/>
        <v>100.57</v>
      </c>
      <c r="E132" s="3060">
        <f ca="1">结果表!$G$20</f>
        <v>10023</v>
      </c>
      <c r="F132" s="3070">
        <f t="shared" ca="1" si="7"/>
        <v>100.57</v>
      </c>
      <c r="G132" s="3070">
        <f t="shared" ca="1" si="8"/>
        <v>10023</v>
      </c>
    </row>
    <row r="133" spans="1:7">
      <c r="A133" s="3057">
        <v>51</v>
      </c>
      <c r="B133" s="3058" t="s">
        <v>3490</v>
      </c>
      <c r="C133" s="3059">
        <v>100.34</v>
      </c>
      <c r="D133" s="3060">
        <f t="shared" ca="1" si="6"/>
        <v>100.57</v>
      </c>
      <c r="E133" s="3060">
        <f ca="1">结果表!$G$20</f>
        <v>10023</v>
      </c>
      <c r="F133" s="3070">
        <f t="shared" ca="1" si="7"/>
        <v>100.57</v>
      </c>
      <c r="G133" s="3070">
        <f t="shared" ca="1" si="8"/>
        <v>10023</v>
      </c>
    </row>
    <row r="134" spans="1:7">
      <c r="A134" s="3057">
        <v>52</v>
      </c>
      <c r="B134" s="3058" t="s">
        <v>3491</v>
      </c>
      <c r="C134" s="3059">
        <v>117.61</v>
      </c>
      <c r="D134" s="3060">
        <f t="shared" ca="1" si="6"/>
        <v>117.88</v>
      </c>
      <c r="E134" s="3060">
        <f ca="1">结果表!$G$20</f>
        <v>10023</v>
      </c>
      <c r="F134" s="3070">
        <f t="shared" ca="1" si="7"/>
        <v>117.88</v>
      </c>
      <c r="G134" s="3070">
        <f t="shared" ca="1" si="8"/>
        <v>10023</v>
      </c>
    </row>
    <row r="135" spans="1:7">
      <c r="A135" s="3057">
        <v>53</v>
      </c>
      <c r="B135" s="3058" t="s">
        <v>3492</v>
      </c>
      <c r="C135" s="3059">
        <v>117.61</v>
      </c>
      <c r="D135" s="3060">
        <f t="shared" ca="1" si="6"/>
        <v>117.88</v>
      </c>
      <c r="E135" s="3060">
        <f ca="1">结果表!$G$20</f>
        <v>10023</v>
      </c>
      <c r="F135" s="3070">
        <f t="shared" ca="1" si="7"/>
        <v>117.88</v>
      </c>
      <c r="G135" s="3070">
        <f t="shared" ca="1" si="8"/>
        <v>10023</v>
      </c>
    </row>
    <row r="136" spans="1:7">
      <c r="A136" s="3057">
        <v>54</v>
      </c>
      <c r="B136" s="3058" t="s">
        <v>3493</v>
      </c>
      <c r="C136" s="3059">
        <v>100.34</v>
      </c>
      <c r="D136" s="3060">
        <f t="shared" ca="1" si="6"/>
        <v>100.57</v>
      </c>
      <c r="E136" s="3060">
        <f ca="1">结果表!$G$20</f>
        <v>10023</v>
      </c>
      <c r="F136" s="3070">
        <f t="shared" ca="1" si="7"/>
        <v>100.57</v>
      </c>
      <c r="G136" s="3070">
        <f t="shared" ca="1" si="8"/>
        <v>10023</v>
      </c>
    </row>
    <row r="137" spans="1:7">
      <c r="A137" s="3057">
        <v>55</v>
      </c>
      <c r="B137" s="3058" t="s">
        <v>3494</v>
      </c>
      <c r="C137" s="3059">
        <v>100.34</v>
      </c>
      <c r="D137" s="3060">
        <f t="shared" ca="1" si="6"/>
        <v>100.57</v>
      </c>
      <c r="E137" s="3060">
        <f ca="1">结果表!$G$20</f>
        <v>10023</v>
      </c>
      <c r="F137" s="3070">
        <f t="shared" ca="1" si="7"/>
        <v>100.57</v>
      </c>
      <c r="G137" s="3070">
        <f t="shared" ca="1" si="8"/>
        <v>10023</v>
      </c>
    </row>
    <row r="138" spans="1:7">
      <c r="A138" s="3057">
        <v>56</v>
      </c>
      <c r="B138" s="3058" t="s">
        <v>3495</v>
      </c>
      <c r="C138" s="3059">
        <v>117.61</v>
      </c>
      <c r="D138" s="3060">
        <f t="shared" ca="1" si="6"/>
        <v>117.88</v>
      </c>
      <c r="E138" s="3060">
        <f ca="1">结果表!$G$20</f>
        <v>10023</v>
      </c>
      <c r="F138" s="3070">
        <f t="shared" ca="1" si="7"/>
        <v>117.88</v>
      </c>
      <c r="G138" s="3070">
        <f t="shared" ca="1" si="8"/>
        <v>10023</v>
      </c>
    </row>
    <row r="139" spans="1:7">
      <c r="A139" s="3057">
        <v>57</v>
      </c>
      <c r="B139" s="3058" t="s">
        <v>3496</v>
      </c>
      <c r="C139" s="3059">
        <v>117.61</v>
      </c>
      <c r="D139" s="3060">
        <f t="shared" ca="1" si="6"/>
        <v>117.88</v>
      </c>
      <c r="E139" s="3060">
        <f ca="1">结果表!$G$20</f>
        <v>10023</v>
      </c>
      <c r="F139" s="3070">
        <f t="shared" ca="1" si="7"/>
        <v>117.88</v>
      </c>
      <c r="G139" s="3070">
        <f t="shared" ca="1" si="8"/>
        <v>10023</v>
      </c>
    </row>
    <row r="140" spans="1:7">
      <c r="A140" s="3057">
        <v>58</v>
      </c>
      <c r="B140" s="3058" t="s">
        <v>3497</v>
      </c>
      <c r="C140" s="3059">
        <v>100.34</v>
      </c>
      <c r="D140" s="3060">
        <f t="shared" ca="1" si="6"/>
        <v>100.57</v>
      </c>
      <c r="E140" s="3060">
        <f ca="1">结果表!$G$20</f>
        <v>10023</v>
      </c>
      <c r="F140" s="3070">
        <f t="shared" ca="1" si="7"/>
        <v>100.57</v>
      </c>
      <c r="G140" s="3070">
        <f t="shared" ca="1" si="8"/>
        <v>10023</v>
      </c>
    </row>
    <row r="141" spans="1:7">
      <c r="A141" s="3057">
        <v>59</v>
      </c>
      <c r="B141" s="3058" t="s">
        <v>3498</v>
      </c>
      <c r="C141" s="3059">
        <v>100.34</v>
      </c>
      <c r="D141" s="3060">
        <f t="shared" ca="1" si="6"/>
        <v>100.57</v>
      </c>
      <c r="E141" s="3060">
        <f ca="1">结果表!$G$20</f>
        <v>10023</v>
      </c>
      <c r="F141" s="3070">
        <f t="shared" ca="1" si="7"/>
        <v>100.57</v>
      </c>
      <c r="G141" s="3070">
        <f t="shared" ca="1" si="8"/>
        <v>10023</v>
      </c>
    </row>
    <row r="142" spans="1:7">
      <c r="A142" s="3057">
        <v>60</v>
      </c>
      <c r="B142" s="3058" t="s">
        <v>3499</v>
      </c>
      <c r="C142" s="3059">
        <v>117.61</v>
      </c>
      <c r="D142" s="3060">
        <f t="shared" ca="1" si="6"/>
        <v>117.88</v>
      </c>
      <c r="E142" s="3060">
        <f ca="1">结果表!$G$20</f>
        <v>10023</v>
      </c>
      <c r="F142" s="3070">
        <f t="shared" ca="1" si="7"/>
        <v>117.88</v>
      </c>
      <c r="G142" s="3070">
        <f t="shared" ca="1" si="8"/>
        <v>10023</v>
      </c>
    </row>
    <row r="143" spans="1:7">
      <c r="A143" s="3057">
        <v>61</v>
      </c>
      <c r="B143" s="3058" t="s">
        <v>3500</v>
      </c>
      <c r="C143" s="3059">
        <v>117.61</v>
      </c>
      <c r="D143" s="3060">
        <f t="shared" ca="1" si="6"/>
        <v>117.88</v>
      </c>
      <c r="E143" s="3060">
        <f ca="1">结果表!$G$20</f>
        <v>10023</v>
      </c>
      <c r="F143" s="3070">
        <f t="shared" ca="1" si="7"/>
        <v>117.88</v>
      </c>
      <c r="G143" s="3070">
        <f t="shared" ca="1" si="8"/>
        <v>10023</v>
      </c>
    </row>
    <row r="144" spans="1:7">
      <c r="A144" s="3057">
        <v>62</v>
      </c>
      <c r="B144" s="3058" t="s">
        <v>3501</v>
      </c>
      <c r="C144" s="3059">
        <v>100.34</v>
      </c>
      <c r="D144" s="3060">
        <f t="shared" ca="1" si="6"/>
        <v>100.57</v>
      </c>
      <c r="E144" s="3060">
        <f ca="1">结果表!$G$20</f>
        <v>10023</v>
      </c>
      <c r="F144" s="3070">
        <f t="shared" ca="1" si="7"/>
        <v>100.57</v>
      </c>
      <c r="G144" s="3070">
        <f t="shared" ca="1" si="8"/>
        <v>10023</v>
      </c>
    </row>
    <row r="145" spans="1:7">
      <c r="A145" s="3057">
        <v>63</v>
      </c>
      <c r="B145" s="3058" t="s">
        <v>3502</v>
      </c>
      <c r="C145" s="3059">
        <v>100.34</v>
      </c>
      <c r="D145" s="3060">
        <f t="shared" ca="1" si="6"/>
        <v>100.57</v>
      </c>
      <c r="E145" s="3060">
        <f ca="1">结果表!$G$20</f>
        <v>10023</v>
      </c>
      <c r="F145" s="3070">
        <f t="shared" ca="1" si="7"/>
        <v>100.57</v>
      </c>
      <c r="G145" s="3070">
        <f t="shared" ca="1" si="8"/>
        <v>10023</v>
      </c>
    </row>
    <row r="146" spans="1:7">
      <c r="A146" s="3057">
        <v>64</v>
      </c>
      <c r="B146" s="3058" t="s">
        <v>3503</v>
      </c>
      <c r="C146" s="3059">
        <v>117.61</v>
      </c>
      <c r="D146" s="3060">
        <f t="shared" ca="1" si="6"/>
        <v>117.88</v>
      </c>
      <c r="E146" s="3060">
        <f ca="1">结果表!$G$20</f>
        <v>10023</v>
      </c>
      <c r="F146" s="3070">
        <f t="shared" ca="1" si="7"/>
        <v>117.88</v>
      </c>
      <c r="G146" s="3070">
        <f t="shared" ca="1" si="8"/>
        <v>10023</v>
      </c>
    </row>
    <row r="147" spans="1:7">
      <c r="A147" s="3057">
        <v>65</v>
      </c>
      <c r="B147" s="3058" t="s">
        <v>3504</v>
      </c>
      <c r="C147" s="3059">
        <v>117.61</v>
      </c>
      <c r="D147" s="3060">
        <f t="shared" ca="1" si="6"/>
        <v>117.88</v>
      </c>
      <c r="E147" s="3060">
        <f ca="1">结果表!$G$20</f>
        <v>10023</v>
      </c>
      <c r="F147" s="3070">
        <f t="shared" ca="1" si="7"/>
        <v>117.88</v>
      </c>
      <c r="G147" s="3070">
        <f t="shared" ca="1" si="8"/>
        <v>10023</v>
      </c>
    </row>
    <row r="148" spans="1:7">
      <c r="A148" s="3057">
        <v>66</v>
      </c>
      <c r="B148" s="3058" t="s">
        <v>3505</v>
      </c>
      <c r="C148" s="3059">
        <v>100.34</v>
      </c>
      <c r="D148" s="3060">
        <f t="shared" ref="D148:D165" ca="1" si="9">ROUND(E148*C148/10000,2)</f>
        <v>100.57</v>
      </c>
      <c r="E148" s="3060">
        <f ca="1">结果表!$G$20</f>
        <v>10023</v>
      </c>
      <c r="F148" s="3070">
        <f t="shared" ca="1" si="7"/>
        <v>100.57</v>
      </c>
      <c r="G148" s="3070">
        <f t="shared" ca="1" si="8"/>
        <v>10023</v>
      </c>
    </row>
    <row r="149" spans="1:7">
      <c r="A149" s="3057">
        <v>67</v>
      </c>
      <c r="B149" s="3058" t="s">
        <v>3506</v>
      </c>
      <c r="C149" s="3059">
        <v>100.34</v>
      </c>
      <c r="D149" s="3060">
        <f t="shared" ca="1" si="9"/>
        <v>100.57</v>
      </c>
      <c r="E149" s="3060">
        <f ca="1">结果表!$G$20</f>
        <v>10023</v>
      </c>
      <c r="F149" s="3070">
        <f t="shared" ca="1" si="7"/>
        <v>100.57</v>
      </c>
      <c r="G149" s="3070">
        <f t="shared" ca="1" si="8"/>
        <v>10023</v>
      </c>
    </row>
    <row r="150" spans="1:7">
      <c r="A150" s="3057">
        <v>68</v>
      </c>
      <c r="B150" s="3058" t="s">
        <v>3507</v>
      </c>
      <c r="C150" s="3059">
        <v>117.61</v>
      </c>
      <c r="D150" s="3060">
        <f t="shared" ca="1" si="9"/>
        <v>117.88</v>
      </c>
      <c r="E150" s="3060">
        <f ca="1">结果表!$G$20</f>
        <v>10023</v>
      </c>
      <c r="F150" s="3070">
        <f t="shared" ca="1" si="7"/>
        <v>117.88</v>
      </c>
      <c r="G150" s="3070">
        <f t="shared" ca="1" si="8"/>
        <v>10023</v>
      </c>
    </row>
    <row r="151" spans="1:7">
      <c r="A151" s="3057">
        <v>69</v>
      </c>
      <c r="B151" s="3058" t="s">
        <v>3508</v>
      </c>
      <c r="C151" s="3059">
        <v>117.61</v>
      </c>
      <c r="D151" s="3060">
        <f t="shared" ca="1" si="9"/>
        <v>117.88</v>
      </c>
      <c r="E151" s="3060">
        <f ca="1">结果表!$G$20</f>
        <v>10023</v>
      </c>
      <c r="F151" s="3070">
        <f t="shared" ca="1" si="7"/>
        <v>117.88</v>
      </c>
      <c r="G151" s="3070">
        <f t="shared" ca="1" si="8"/>
        <v>10023</v>
      </c>
    </row>
    <row r="152" spans="1:7">
      <c r="A152" s="3057">
        <v>70</v>
      </c>
      <c r="B152" s="3058" t="s">
        <v>3509</v>
      </c>
      <c r="C152" s="3059">
        <v>100.34</v>
      </c>
      <c r="D152" s="3060">
        <f t="shared" ca="1" si="9"/>
        <v>100.57</v>
      </c>
      <c r="E152" s="3060">
        <f ca="1">结果表!$G$20</f>
        <v>10023</v>
      </c>
      <c r="F152" s="3070">
        <f t="shared" ca="1" si="7"/>
        <v>100.57</v>
      </c>
      <c r="G152" s="3070">
        <f t="shared" ca="1" si="8"/>
        <v>10023</v>
      </c>
    </row>
    <row r="153" spans="1:7">
      <c r="A153" s="3057">
        <v>71</v>
      </c>
      <c r="B153" s="3058" t="s">
        <v>3510</v>
      </c>
      <c r="C153" s="3059">
        <v>100.34</v>
      </c>
      <c r="D153" s="3060">
        <f t="shared" ca="1" si="9"/>
        <v>100.57</v>
      </c>
      <c r="E153" s="3060">
        <f ca="1">结果表!$G$20</f>
        <v>10023</v>
      </c>
      <c r="F153" s="3070">
        <f t="shared" ca="1" si="7"/>
        <v>100.57</v>
      </c>
      <c r="G153" s="3070">
        <f t="shared" ca="1" si="8"/>
        <v>10023</v>
      </c>
    </row>
    <row r="154" spans="1:7">
      <c r="A154" s="3057">
        <v>72</v>
      </c>
      <c r="B154" s="3058" t="s">
        <v>3511</v>
      </c>
      <c r="C154" s="3059">
        <v>117.61</v>
      </c>
      <c r="D154" s="3060">
        <f t="shared" ca="1" si="9"/>
        <v>117.88</v>
      </c>
      <c r="E154" s="3060">
        <f ca="1">结果表!$G$20</f>
        <v>10023</v>
      </c>
      <c r="F154" s="3070">
        <f t="shared" ca="1" si="7"/>
        <v>117.88</v>
      </c>
      <c r="G154" s="3070">
        <f t="shared" ca="1" si="8"/>
        <v>10023</v>
      </c>
    </row>
    <row r="155" spans="1:7">
      <c r="A155" s="3057">
        <v>73</v>
      </c>
      <c r="B155" s="3058" t="s">
        <v>3512</v>
      </c>
      <c r="C155" s="3059">
        <v>117.61</v>
      </c>
      <c r="D155" s="3060">
        <f t="shared" ca="1" si="9"/>
        <v>117.88</v>
      </c>
      <c r="E155" s="3060">
        <f ca="1">结果表!$G$20</f>
        <v>10023</v>
      </c>
      <c r="F155" s="3070">
        <f t="shared" ca="1" si="7"/>
        <v>117.88</v>
      </c>
      <c r="G155" s="3070">
        <f t="shared" ca="1" si="8"/>
        <v>10023</v>
      </c>
    </row>
    <row r="156" spans="1:7">
      <c r="A156" s="3057">
        <v>74</v>
      </c>
      <c r="B156" s="3058" t="s">
        <v>3513</v>
      </c>
      <c r="C156" s="3059">
        <v>100.34</v>
      </c>
      <c r="D156" s="3060">
        <f t="shared" ca="1" si="9"/>
        <v>100.57</v>
      </c>
      <c r="E156" s="3060">
        <f ca="1">结果表!$G$20</f>
        <v>10023</v>
      </c>
      <c r="F156" s="3070">
        <f t="shared" ca="1" si="7"/>
        <v>100.57</v>
      </c>
      <c r="G156" s="3070">
        <f t="shared" ca="1" si="8"/>
        <v>10023</v>
      </c>
    </row>
    <row r="157" spans="1:7">
      <c r="A157" s="3057">
        <v>75</v>
      </c>
      <c r="B157" s="3058" t="s">
        <v>3514</v>
      </c>
      <c r="C157" s="3059">
        <v>100.34</v>
      </c>
      <c r="D157" s="3060">
        <f t="shared" ca="1" si="9"/>
        <v>100.57</v>
      </c>
      <c r="E157" s="3060">
        <f ca="1">结果表!$G$20</f>
        <v>10023</v>
      </c>
      <c r="F157" s="3070">
        <f t="shared" ca="1" si="7"/>
        <v>100.57</v>
      </c>
      <c r="G157" s="3070">
        <f t="shared" ca="1" si="8"/>
        <v>10023</v>
      </c>
    </row>
    <row r="158" spans="1:7">
      <c r="A158" s="3057">
        <v>76</v>
      </c>
      <c r="B158" s="3058" t="s">
        <v>3515</v>
      </c>
      <c r="C158" s="3059">
        <v>117.61</v>
      </c>
      <c r="D158" s="3060">
        <f t="shared" ca="1" si="9"/>
        <v>117.88</v>
      </c>
      <c r="E158" s="3060">
        <f ca="1">结果表!$G$20</f>
        <v>10023</v>
      </c>
      <c r="F158" s="3070">
        <f t="shared" ca="1" si="7"/>
        <v>117.88</v>
      </c>
      <c r="G158" s="3070">
        <f t="shared" ca="1" si="8"/>
        <v>10023</v>
      </c>
    </row>
    <row r="159" spans="1:7">
      <c r="A159" s="3057">
        <v>77</v>
      </c>
      <c r="B159" s="3058" t="s">
        <v>3516</v>
      </c>
      <c r="C159" s="3059">
        <v>117.61</v>
      </c>
      <c r="D159" s="3060">
        <f t="shared" ca="1" si="9"/>
        <v>117.88</v>
      </c>
      <c r="E159" s="3060">
        <f ca="1">结果表!$G$20</f>
        <v>10023</v>
      </c>
      <c r="F159" s="3070">
        <f t="shared" ca="1" si="7"/>
        <v>117.88</v>
      </c>
      <c r="G159" s="3070">
        <f t="shared" ca="1" si="8"/>
        <v>10023</v>
      </c>
    </row>
    <row r="160" spans="1:7">
      <c r="A160" s="3057">
        <v>78</v>
      </c>
      <c r="B160" s="3058" t="s">
        <v>3517</v>
      </c>
      <c r="C160" s="3059">
        <v>100.34</v>
      </c>
      <c r="D160" s="3060">
        <f t="shared" ca="1" si="9"/>
        <v>100.57</v>
      </c>
      <c r="E160" s="3060">
        <f ca="1">结果表!$G$20</f>
        <v>10023</v>
      </c>
      <c r="F160" s="3070">
        <f t="shared" ca="1" si="7"/>
        <v>100.57</v>
      </c>
      <c r="G160" s="3070">
        <f t="shared" ca="1" si="8"/>
        <v>10023</v>
      </c>
    </row>
    <row r="161" spans="1:7">
      <c r="A161" s="3057">
        <v>79</v>
      </c>
      <c r="B161" s="3058" t="s">
        <v>3518</v>
      </c>
      <c r="C161" s="3059">
        <v>100.34</v>
      </c>
      <c r="D161" s="3060">
        <f t="shared" ca="1" si="9"/>
        <v>100.57</v>
      </c>
      <c r="E161" s="3060">
        <f ca="1">结果表!$G$20</f>
        <v>10023</v>
      </c>
      <c r="F161" s="3070">
        <f t="shared" ca="1" si="7"/>
        <v>100.57</v>
      </c>
      <c r="G161" s="3070">
        <f t="shared" ca="1" si="8"/>
        <v>10023</v>
      </c>
    </row>
    <row r="162" spans="1:7">
      <c r="A162" s="3057">
        <v>80</v>
      </c>
      <c r="B162" s="3058" t="s">
        <v>3519</v>
      </c>
      <c r="C162" s="3059">
        <v>117.61</v>
      </c>
      <c r="D162" s="3060">
        <f t="shared" ca="1" si="9"/>
        <v>117.88</v>
      </c>
      <c r="E162" s="3060">
        <f ca="1">结果表!$G$20</f>
        <v>10023</v>
      </c>
      <c r="F162" s="3070">
        <f t="shared" ca="1" si="7"/>
        <v>117.88</v>
      </c>
      <c r="G162" s="3070">
        <f t="shared" ca="1" si="8"/>
        <v>10023</v>
      </c>
    </row>
    <row r="163" spans="1:7">
      <c r="A163" s="3057">
        <v>81</v>
      </c>
      <c r="B163" s="3058" t="s">
        <v>3520</v>
      </c>
      <c r="C163" s="3059">
        <v>117.61</v>
      </c>
      <c r="D163" s="3060">
        <f t="shared" ca="1" si="9"/>
        <v>117.88</v>
      </c>
      <c r="E163" s="3060">
        <f ca="1">结果表!$G$20</f>
        <v>10023</v>
      </c>
      <c r="F163" s="3070">
        <f t="shared" ca="1" si="7"/>
        <v>117.88</v>
      </c>
      <c r="G163" s="3070">
        <f t="shared" ca="1" si="8"/>
        <v>10023</v>
      </c>
    </row>
    <row r="164" spans="1:7">
      <c r="A164" s="3057">
        <v>82</v>
      </c>
      <c r="B164" s="3058" t="s">
        <v>3521</v>
      </c>
      <c r="C164" s="3059">
        <v>100.34</v>
      </c>
      <c r="D164" s="3060">
        <f t="shared" ca="1" si="9"/>
        <v>100.57</v>
      </c>
      <c r="E164" s="3060">
        <f ca="1">结果表!$G$20</f>
        <v>10023</v>
      </c>
      <c r="F164" s="3070">
        <f t="shared" ca="1" si="7"/>
        <v>100.57</v>
      </c>
      <c r="G164" s="3070">
        <f t="shared" ca="1" si="8"/>
        <v>10023</v>
      </c>
    </row>
    <row r="165" spans="1:7">
      <c r="A165" s="3057">
        <v>83</v>
      </c>
      <c r="B165" s="3058" t="s">
        <v>3522</v>
      </c>
      <c r="C165" s="3059">
        <v>100.34</v>
      </c>
      <c r="D165" s="3060">
        <f t="shared" ca="1" si="9"/>
        <v>100.57</v>
      </c>
      <c r="E165" s="3060">
        <f ca="1">结果表!$G$20</f>
        <v>10023</v>
      </c>
      <c r="F165" s="3070">
        <f t="shared" ca="1" si="7"/>
        <v>100.57</v>
      </c>
      <c r="G165" s="3070">
        <f t="shared" ca="1" si="8"/>
        <v>10023</v>
      </c>
    </row>
    <row r="166" spans="1:7">
      <c r="A166" s="3057">
        <v>84</v>
      </c>
      <c r="B166" s="3058" t="s">
        <v>3523</v>
      </c>
      <c r="C166" s="3059">
        <v>117.61</v>
      </c>
      <c r="D166" s="3060">
        <f ca="1">ROUND(E166*C166/10000,2)</f>
        <v>117.88</v>
      </c>
      <c r="E166" s="3060">
        <f ca="1">结果表!$G$20</f>
        <v>10023</v>
      </c>
      <c r="F166" s="3070">
        <f t="shared" ca="1" si="7"/>
        <v>117.88</v>
      </c>
      <c r="G166" s="3070">
        <f t="shared" ca="1" si="8"/>
        <v>10023</v>
      </c>
    </row>
    <row r="167" spans="1:7">
      <c r="A167" s="3317" t="s">
        <v>3323</v>
      </c>
      <c r="B167" s="3317"/>
      <c r="C167" s="3063">
        <f>SUM(C83:C166)</f>
        <v>9153.9000000000015</v>
      </c>
      <c r="D167" s="3067">
        <f ca="1">SUM(D83:D166)</f>
        <v>9174.8999999999942</v>
      </c>
      <c r="E167" s="3060">
        <f ca="1">结果表!$G$20</f>
        <v>10023</v>
      </c>
      <c r="F167" s="3070">
        <f t="shared" ca="1" si="7"/>
        <v>9174.8999999999942</v>
      </c>
      <c r="G167" s="3070">
        <f t="shared" ca="1" si="8"/>
        <v>10023</v>
      </c>
    </row>
    <row r="168" spans="1:7" s="3070" customFormat="1">
      <c r="A168" s="3319" t="s">
        <v>3836</v>
      </c>
      <c r="B168" s="3320"/>
      <c r="C168" s="3063">
        <f>C167+C82</f>
        <v>18995.099999999999</v>
      </c>
      <c r="D168" s="3067"/>
      <c r="E168" s="3060"/>
      <c r="F168" s="3063">
        <f ca="1">F167+F82</f>
        <v>19038.499999999993</v>
      </c>
      <c r="G168" s="2957">
        <f ca="1">F168/C168*10000</f>
        <v>10022.847997641493</v>
      </c>
    </row>
    <row r="169" spans="1:7">
      <c r="A169" s="3057">
        <v>1</v>
      </c>
      <c r="B169" s="3061" t="s">
        <v>3524</v>
      </c>
      <c r="C169" s="3062">
        <v>129.22</v>
      </c>
      <c r="D169" s="3060">
        <f ca="1">ROUND(E169*C169/10000,2)</f>
        <v>129.52000000000001</v>
      </c>
      <c r="E169" s="3060">
        <f ca="1">结果表!$G$20</f>
        <v>10023</v>
      </c>
      <c r="F169" s="3071">
        <f ca="1">D169</f>
        <v>129.52000000000001</v>
      </c>
      <c r="G169" s="3072">
        <f ca="1">E169</f>
        <v>10023</v>
      </c>
    </row>
    <row r="170" spans="1:7">
      <c r="A170" s="3057">
        <v>2</v>
      </c>
      <c r="B170" s="3061" t="s">
        <v>3525</v>
      </c>
      <c r="C170" s="3062">
        <v>98</v>
      </c>
      <c r="D170" s="3060">
        <f t="shared" ref="D170:D233" ca="1" si="10">ROUND(E170*C170/10000,2)</f>
        <v>98.23</v>
      </c>
      <c r="E170" s="3060">
        <f ca="1">结果表!$G$20</f>
        <v>10023</v>
      </c>
      <c r="F170" s="3071">
        <f t="shared" ref="F170:F233" ca="1" si="11">D170</f>
        <v>98.23</v>
      </c>
      <c r="G170" s="3072">
        <f t="shared" ref="G170:G233" ca="1" si="12">E170</f>
        <v>10023</v>
      </c>
    </row>
    <row r="171" spans="1:7">
      <c r="A171" s="3057">
        <v>3</v>
      </c>
      <c r="B171" s="3061" t="s">
        <v>3526</v>
      </c>
      <c r="C171" s="3062">
        <v>98</v>
      </c>
      <c r="D171" s="3060">
        <f t="shared" ca="1" si="10"/>
        <v>98.23</v>
      </c>
      <c r="E171" s="3060">
        <f ca="1">结果表!$G$20</f>
        <v>10023</v>
      </c>
      <c r="F171" s="3071">
        <f t="shared" ca="1" si="11"/>
        <v>98.23</v>
      </c>
      <c r="G171" s="3072">
        <f t="shared" ca="1" si="12"/>
        <v>10023</v>
      </c>
    </row>
    <row r="172" spans="1:7">
      <c r="A172" s="3057">
        <v>4</v>
      </c>
      <c r="B172" s="3061" t="s">
        <v>3527</v>
      </c>
      <c r="C172" s="3062">
        <v>129.22</v>
      </c>
      <c r="D172" s="3060">
        <f t="shared" ca="1" si="10"/>
        <v>129.52000000000001</v>
      </c>
      <c r="E172" s="3060">
        <f ca="1">结果表!$G$20</f>
        <v>10023</v>
      </c>
      <c r="F172" s="3071">
        <f t="shared" ca="1" si="11"/>
        <v>129.52000000000001</v>
      </c>
      <c r="G172" s="3072">
        <f t="shared" ca="1" si="12"/>
        <v>10023</v>
      </c>
    </row>
    <row r="173" spans="1:7">
      <c r="A173" s="3057">
        <v>5</v>
      </c>
      <c r="B173" s="3061" t="s">
        <v>3528</v>
      </c>
      <c r="C173" s="3062">
        <v>129.22</v>
      </c>
      <c r="D173" s="3060">
        <f t="shared" ca="1" si="10"/>
        <v>129.52000000000001</v>
      </c>
      <c r="E173" s="3060">
        <f ca="1">结果表!$G$20</f>
        <v>10023</v>
      </c>
      <c r="F173" s="3071">
        <f t="shared" ca="1" si="11"/>
        <v>129.52000000000001</v>
      </c>
      <c r="G173" s="3072">
        <f t="shared" ca="1" si="12"/>
        <v>10023</v>
      </c>
    </row>
    <row r="174" spans="1:7">
      <c r="A174" s="3057">
        <v>6</v>
      </c>
      <c r="B174" s="3061" t="s">
        <v>3529</v>
      </c>
      <c r="C174" s="3062">
        <v>98</v>
      </c>
      <c r="D174" s="3060">
        <f t="shared" ca="1" si="10"/>
        <v>98.23</v>
      </c>
      <c r="E174" s="3060">
        <f ca="1">结果表!$G$20</f>
        <v>10023</v>
      </c>
      <c r="F174" s="3071">
        <f t="shared" ca="1" si="11"/>
        <v>98.23</v>
      </c>
      <c r="G174" s="3072">
        <f t="shared" ca="1" si="12"/>
        <v>10023</v>
      </c>
    </row>
    <row r="175" spans="1:7">
      <c r="A175" s="3057">
        <v>7</v>
      </c>
      <c r="B175" s="3061" t="s">
        <v>3530</v>
      </c>
      <c r="C175" s="3062">
        <v>98</v>
      </c>
      <c r="D175" s="3060">
        <f t="shared" ca="1" si="10"/>
        <v>98.23</v>
      </c>
      <c r="E175" s="3060">
        <f ca="1">结果表!$G$20</f>
        <v>10023</v>
      </c>
      <c r="F175" s="3071">
        <f t="shared" ca="1" si="11"/>
        <v>98.23</v>
      </c>
      <c r="G175" s="3072">
        <f t="shared" ca="1" si="12"/>
        <v>10023</v>
      </c>
    </row>
    <row r="176" spans="1:7">
      <c r="A176" s="3057">
        <v>8</v>
      </c>
      <c r="B176" s="3061" t="s">
        <v>3531</v>
      </c>
      <c r="C176" s="3062">
        <v>129.22</v>
      </c>
      <c r="D176" s="3060">
        <f t="shared" ca="1" si="10"/>
        <v>129.52000000000001</v>
      </c>
      <c r="E176" s="3060">
        <f ca="1">结果表!$G$20</f>
        <v>10023</v>
      </c>
      <c r="F176" s="3071">
        <f t="shared" ca="1" si="11"/>
        <v>129.52000000000001</v>
      </c>
      <c r="G176" s="3072">
        <f t="shared" ca="1" si="12"/>
        <v>10023</v>
      </c>
    </row>
    <row r="177" spans="1:7">
      <c r="A177" s="3057">
        <v>9</v>
      </c>
      <c r="B177" s="3061" t="s">
        <v>3532</v>
      </c>
      <c r="C177" s="3062">
        <v>129.22</v>
      </c>
      <c r="D177" s="3060">
        <f t="shared" ca="1" si="10"/>
        <v>129.52000000000001</v>
      </c>
      <c r="E177" s="3060">
        <f ca="1">结果表!$G$20</f>
        <v>10023</v>
      </c>
      <c r="F177" s="3071">
        <f t="shared" ca="1" si="11"/>
        <v>129.52000000000001</v>
      </c>
      <c r="G177" s="3072">
        <f t="shared" ca="1" si="12"/>
        <v>10023</v>
      </c>
    </row>
    <row r="178" spans="1:7">
      <c r="A178" s="3057">
        <v>10</v>
      </c>
      <c r="B178" s="3061" t="s">
        <v>3533</v>
      </c>
      <c r="C178" s="3062">
        <v>98</v>
      </c>
      <c r="D178" s="3060">
        <f t="shared" ca="1" si="10"/>
        <v>98.23</v>
      </c>
      <c r="E178" s="3060">
        <f ca="1">结果表!$G$20</f>
        <v>10023</v>
      </c>
      <c r="F178" s="3071">
        <f t="shared" ca="1" si="11"/>
        <v>98.23</v>
      </c>
      <c r="G178" s="3072">
        <f t="shared" ca="1" si="12"/>
        <v>10023</v>
      </c>
    </row>
    <row r="179" spans="1:7">
      <c r="A179" s="3057">
        <v>11</v>
      </c>
      <c r="B179" s="3061" t="s">
        <v>3534</v>
      </c>
      <c r="C179" s="3062">
        <v>98</v>
      </c>
      <c r="D179" s="3060">
        <f t="shared" ca="1" si="10"/>
        <v>98.23</v>
      </c>
      <c r="E179" s="3060">
        <f ca="1">结果表!$G$20</f>
        <v>10023</v>
      </c>
      <c r="F179" s="3071">
        <f t="shared" ca="1" si="11"/>
        <v>98.23</v>
      </c>
      <c r="G179" s="3072">
        <f t="shared" ca="1" si="12"/>
        <v>10023</v>
      </c>
    </row>
    <row r="180" spans="1:7">
      <c r="A180" s="3057">
        <v>12</v>
      </c>
      <c r="B180" s="3061" t="s">
        <v>3535</v>
      </c>
      <c r="C180" s="3062">
        <v>129.22</v>
      </c>
      <c r="D180" s="3060">
        <f t="shared" ca="1" si="10"/>
        <v>129.52000000000001</v>
      </c>
      <c r="E180" s="3060">
        <f ca="1">结果表!$G$20</f>
        <v>10023</v>
      </c>
      <c r="F180" s="3071">
        <f t="shared" ca="1" si="11"/>
        <v>129.52000000000001</v>
      </c>
      <c r="G180" s="3072">
        <f t="shared" ca="1" si="12"/>
        <v>10023</v>
      </c>
    </row>
    <row r="181" spans="1:7">
      <c r="A181" s="3057">
        <v>13</v>
      </c>
      <c r="B181" s="3061" t="s">
        <v>3536</v>
      </c>
      <c r="C181" s="3062">
        <v>129.22</v>
      </c>
      <c r="D181" s="3060">
        <f t="shared" ca="1" si="10"/>
        <v>129.52000000000001</v>
      </c>
      <c r="E181" s="3060">
        <f ca="1">结果表!$G$20</f>
        <v>10023</v>
      </c>
      <c r="F181" s="3071">
        <f t="shared" ca="1" si="11"/>
        <v>129.52000000000001</v>
      </c>
      <c r="G181" s="3072">
        <f t="shared" ca="1" si="12"/>
        <v>10023</v>
      </c>
    </row>
    <row r="182" spans="1:7">
      <c r="A182" s="3057">
        <v>14</v>
      </c>
      <c r="B182" s="3061" t="s">
        <v>3537</v>
      </c>
      <c r="C182" s="3062">
        <v>98</v>
      </c>
      <c r="D182" s="3060">
        <f t="shared" ca="1" si="10"/>
        <v>98.23</v>
      </c>
      <c r="E182" s="3060">
        <f ca="1">结果表!$G$20</f>
        <v>10023</v>
      </c>
      <c r="F182" s="3071">
        <f t="shared" ca="1" si="11"/>
        <v>98.23</v>
      </c>
      <c r="G182" s="3072">
        <f t="shared" ca="1" si="12"/>
        <v>10023</v>
      </c>
    </row>
    <row r="183" spans="1:7">
      <c r="A183" s="3057">
        <v>15</v>
      </c>
      <c r="B183" s="3061" t="s">
        <v>3538</v>
      </c>
      <c r="C183" s="3062">
        <v>98</v>
      </c>
      <c r="D183" s="3060">
        <f t="shared" ca="1" si="10"/>
        <v>98.23</v>
      </c>
      <c r="E183" s="3060">
        <f ca="1">结果表!$G$20</f>
        <v>10023</v>
      </c>
      <c r="F183" s="3071">
        <f t="shared" ca="1" si="11"/>
        <v>98.23</v>
      </c>
      <c r="G183" s="3072">
        <f t="shared" ca="1" si="12"/>
        <v>10023</v>
      </c>
    </row>
    <row r="184" spans="1:7">
      <c r="A184" s="3057">
        <v>16</v>
      </c>
      <c r="B184" s="3061" t="s">
        <v>3539</v>
      </c>
      <c r="C184" s="3062">
        <v>129.22</v>
      </c>
      <c r="D184" s="3060">
        <f t="shared" ca="1" si="10"/>
        <v>129.52000000000001</v>
      </c>
      <c r="E184" s="3060">
        <f ca="1">结果表!$G$20</f>
        <v>10023</v>
      </c>
      <c r="F184" s="3071">
        <f t="shared" ca="1" si="11"/>
        <v>129.52000000000001</v>
      </c>
      <c r="G184" s="3072">
        <f t="shared" ca="1" si="12"/>
        <v>10023</v>
      </c>
    </row>
    <row r="185" spans="1:7">
      <c r="A185" s="3057">
        <v>17</v>
      </c>
      <c r="B185" s="3061" t="s">
        <v>3540</v>
      </c>
      <c r="C185" s="3062">
        <v>129.22</v>
      </c>
      <c r="D185" s="3060">
        <f t="shared" ca="1" si="10"/>
        <v>129.52000000000001</v>
      </c>
      <c r="E185" s="3060">
        <f ca="1">结果表!$G$20</f>
        <v>10023</v>
      </c>
      <c r="F185" s="3071">
        <f t="shared" ca="1" si="11"/>
        <v>129.52000000000001</v>
      </c>
      <c r="G185" s="3072">
        <f t="shared" ca="1" si="12"/>
        <v>10023</v>
      </c>
    </row>
    <row r="186" spans="1:7">
      <c r="A186" s="3057">
        <v>18</v>
      </c>
      <c r="B186" s="3061" t="s">
        <v>3541</v>
      </c>
      <c r="C186" s="3062">
        <v>98</v>
      </c>
      <c r="D186" s="3060">
        <f t="shared" ca="1" si="10"/>
        <v>98.23</v>
      </c>
      <c r="E186" s="3060">
        <f ca="1">结果表!$G$20</f>
        <v>10023</v>
      </c>
      <c r="F186" s="3071">
        <f t="shared" ca="1" si="11"/>
        <v>98.23</v>
      </c>
      <c r="G186" s="3072">
        <f t="shared" ca="1" si="12"/>
        <v>10023</v>
      </c>
    </row>
    <row r="187" spans="1:7">
      <c r="A187" s="3057">
        <v>19</v>
      </c>
      <c r="B187" s="3061" t="s">
        <v>3542</v>
      </c>
      <c r="C187" s="3062">
        <v>98</v>
      </c>
      <c r="D187" s="3060">
        <f t="shared" ca="1" si="10"/>
        <v>98.23</v>
      </c>
      <c r="E187" s="3060">
        <f ca="1">结果表!$G$20</f>
        <v>10023</v>
      </c>
      <c r="F187" s="3071">
        <f t="shared" ca="1" si="11"/>
        <v>98.23</v>
      </c>
      <c r="G187" s="3072">
        <f t="shared" ca="1" si="12"/>
        <v>10023</v>
      </c>
    </row>
    <row r="188" spans="1:7">
      <c r="A188" s="3057">
        <v>20</v>
      </c>
      <c r="B188" s="3061" t="s">
        <v>3543</v>
      </c>
      <c r="C188" s="3062">
        <v>129.22</v>
      </c>
      <c r="D188" s="3060">
        <f t="shared" ca="1" si="10"/>
        <v>129.52000000000001</v>
      </c>
      <c r="E188" s="3060">
        <f ca="1">结果表!$G$20</f>
        <v>10023</v>
      </c>
      <c r="F188" s="3071">
        <f t="shared" ca="1" si="11"/>
        <v>129.52000000000001</v>
      </c>
      <c r="G188" s="3072">
        <f t="shared" ca="1" si="12"/>
        <v>10023</v>
      </c>
    </row>
    <row r="189" spans="1:7">
      <c r="A189" s="3057">
        <v>21</v>
      </c>
      <c r="B189" s="3061" t="s">
        <v>3544</v>
      </c>
      <c r="C189" s="3062">
        <v>129.22</v>
      </c>
      <c r="D189" s="3060">
        <f t="shared" ca="1" si="10"/>
        <v>129.52000000000001</v>
      </c>
      <c r="E189" s="3060">
        <f ca="1">结果表!$G$20</f>
        <v>10023</v>
      </c>
      <c r="F189" s="3071">
        <f t="shared" ca="1" si="11"/>
        <v>129.52000000000001</v>
      </c>
      <c r="G189" s="3072">
        <f t="shared" ca="1" si="12"/>
        <v>10023</v>
      </c>
    </row>
    <row r="190" spans="1:7">
      <c r="A190" s="3057">
        <v>22</v>
      </c>
      <c r="B190" s="3061" t="s">
        <v>3545</v>
      </c>
      <c r="C190" s="3062">
        <v>98</v>
      </c>
      <c r="D190" s="3060">
        <f t="shared" ca="1" si="10"/>
        <v>98.23</v>
      </c>
      <c r="E190" s="3060">
        <f ca="1">结果表!$G$20</f>
        <v>10023</v>
      </c>
      <c r="F190" s="3071">
        <f t="shared" ca="1" si="11"/>
        <v>98.23</v>
      </c>
      <c r="G190" s="3072">
        <f t="shared" ca="1" si="12"/>
        <v>10023</v>
      </c>
    </row>
    <row r="191" spans="1:7">
      <c r="A191" s="3057">
        <v>23</v>
      </c>
      <c r="B191" s="3061" t="s">
        <v>3546</v>
      </c>
      <c r="C191" s="3062">
        <v>98</v>
      </c>
      <c r="D191" s="3060">
        <f t="shared" ca="1" si="10"/>
        <v>98.23</v>
      </c>
      <c r="E191" s="3060">
        <f ca="1">结果表!$G$20</f>
        <v>10023</v>
      </c>
      <c r="F191" s="3071">
        <f t="shared" ca="1" si="11"/>
        <v>98.23</v>
      </c>
      <c r="G191" s="3072">
        <f t="shared" ca="1" si="12"/>
        <v>10023</v>
      </c>
    </row>
    <row r="192" spans="1:7">
      <c r="A192" s="3057">
        <v>24</v>
      </c>
      <c r="B192" s="3061" t="s">
        <v>3547</v>
      </c>
      <c r="C192" s="3062">
        <v>129.22</v>
      </c>
      <c r="D192" s="3060">
        <f t="shared" ca="1" si="10"/>
        <v>129.52000000000001</v>
      </c>
      <c r="E192" s="3060">
        <f ca="1">结果表!$G$20</f>
        <v>10023</v>
      </c>
      <c r="F192" s="3071">
        <f t="shared" ca="1" si="11"/>
        <v>129.52000000000001</v>
      </c>
      <c r="G192" s="3072">
        <f t="shared" ca="1" si="12"/>
        <v>10023</v>
      </c>
    </row>
    <row r="193" spans="1:7">
      <c r="A193" s="3057">
        <v>25</v>
      </c>
      <c r="B193" s="3061" t="s">
        <v>3548</v>
      </c>
      <c r="C193" s="3062">
        <v>129.22</v>
      </c>
      <c r="D193" s="3060">
        <f t="shared" ca="1" si="10"/>
        <v>129.52000000000001</v>
      </c>
      <c r="E193" s="3060">
        <f ca="1">结果表!$G$20</f>
        <v>10023</v>
      </c>
      <c r="F193" s="3071">
        <f t="shared" ca="1" si="11"/>
        <v>129.52000000000001</v>
      </c>
      <c r="G193" s="3072">
        <f t="shared" ca="1" si="12"/>
        <v>10023</v>
      </c>
    </row>
    <row r="194" spans="1:7">
      <c r="A194" s="3057">
        <v>26</v>
      </c>
      <c r="B194" s="3061" t="s">
        <v>3549</v>
      </c>
      <c r="C194" s="3062">
        <v>98</v>
      </c>
      <c r="D194" s="3060">
        <f t="shared" ca="1" si="10"/>
        <v>98.23</v>
      </c>
      <c r="E194" s="3060">
        <f ca="1">结果表!$G$20</f>
        <v>10023</v>
      </c>
      <c r="F194" s="3071">
        <f t="shared" ca="1" si="11"/>
        <v>98.23</v>
      </c>
      <c r="G194" s="3072">
        <f t="shared" ca="1" si="12"/>
        <v>10023</v>
      </c>
    </row>
    <row r="195" spans="1:7">
      <c r="A195" s="3057">
        <v>27</v>
      </c>
      <c r="B195" s="3061" t="s">
        <v>3550</v>
      </c>
      <c r="C195" s="3062">
        <v>98</v>
      </c>
      <c r="D195" s="3060">
        <f t="shared" ca="1" si="10"/>
        <v>98.23</v>
      </c>
      <c r="E195" s="3060">
        <f ca="1">结果表!$G$20</f>
        <v>10023</v>
      </c>
      <c r="F195" s="3071">
        <f t="shared" ca="1" si="11"/>
        <v>98.23</v>
      </c>
      <c r="G195" s="3072">
        <f t="shared" ca="1" si="12"/>
        <v>10023</v>
      </c>
    </row>
    <row r="196" spans="1:7">
      <c r="A196" s="3057">
        <v>28</v>
      </c>
      <c r="B196" s="3061" t="s">
        <v>3551</v>
      </c>
      <c r="C196" s="3062">
        <v>129.22</v>
      </c>
      <c r="D196" s="3060">
        <f t="shared" ca="1" si="10"/>
        <v>129.52000000000001</v>
      </c>
      <c r="E196" s="3060">
        <f ca="1">结果表!$G$20</f>
        <v>10023</v>
      </c>
      <c r="F196" s="3071">
        <f t="shared" ca="1" si="11"/>
        <v>129.52000000000001</v>
      </c>
      <c r="G196" s="3072">
        <f t="shared" ca="1" si="12"/>
        <v>10023</v>
      </c>
    </row>
    <row r="197" spans="1:7">
      <c r="A197" s="3057">
        <v>29</v>
      </c>
      <c r="B197" s="3061" t="s">
        <v>3552</v>
      </c>
      <c r="C197" s="3062">
        <v>129.22</v>
      </c>
      <c r="D197" s="3060">
        <f t="shared" ca="1" si="10"/>
        <v>129.52000000000001</v>
      </c>
      <c r="E197" s="3060">
        <f ca="1">结果表!$G$20</f>
        <v>10023</v>
      </c>
      <c r="F197" s="3071">
        <f t="shared" ca="1" si="11"/>
        <v>129.52000000000001</v>
      </c>
      <c r="G197" s="3072">
        <f t="shared" ca="1" si="12"/>
        <v>10023</v>
      </c>
    </row>
    <row r="198" spans="1:7">
      <c r="A198" s="3057">
        <v>30</v>
      </c>
      <c r="B198" s="3061" t="s">
        <v>3553</v>
      </c>
      <c r="C198" s="3062">
        <v>98</v>
      </c>
      <c r="D198" s="3060">
        <f t="shared" ca="1" si="10"/>
        <v>98.23</v>
      </c>
      <c r="E198" s="3060">
        <f ca="1">结果表!$G$20</f>
        <v>10023</v>
      </c>
      <c r="F198" s="3071">
        <f t="shared" ca="1" si="11"/>
        <v>98.23</v>
      </c>
      <c r="G198" s="3072">
        <f t="shared" ca="1" si="12"/>
        <v>10023</v>
      </c>
    </row>
    <row r="199" spans="1:7">
      <c r="A199" s="3057">
        <v>31</v>
      </c>
      <c r="B199" s="3061" t="s">
        <v>3554</v>
      </c>
      <c r="C199" s="3062">
        <v>98</v>
      </c>
      <c r="D199" s="3060">
        <f t="shared" ca="1" si="10"/>
        <v>98.23</v>
      </c>
      <c r="E199" s="3060">
        <f ca="1">结果表!$G$20</f>
        <v>10023</v>
      </c>
      <c r="F199" s="3071">
        <f t="shared" ca="1" si="11"/>
        <v>98.23</v>
      </c>
      <c r="G199" s="3072">
        <f t="shared" ca="1" si="12"/>
        <v>10023</v>
      </c>
    </row>
    <row r="200" spans="1:7">
      <c r="A200" s="3057">
        <v>32</v>
      </c>
      <c r="B200" s="3061" t="s">
        <v>3555</v>
      </c>
      <c r="C200" s="3062">
        <v>129.22</v>
      </c>
      <c r="D200" s="3060">
        <f t="shared" ca="1" si="10"/>
        <v>129.52000000000001</v>
      </c>
      <c r="E200" s="3060">
        <f ca="1">结果表!$G$20</f>
        <v>10023</v>
      </c>
      <c r="F200" s="3071">
        <f t="shared" ca="1" si="11"/>
        <v>129.52000000000001</v>
      </c>
      <c r="G200" s="3072">
        <f t="shared" ca="1" si="12"/>
        <v>10023</v>
      </c>
    </row>
    <row r="201" spans="1:7">
      <c r="A201" s="3057">
        <v>33</v>
      </c>
      <c r="B201" s="3061" t="s">
        <v>3556</v>
      </c>
      <c r="C201" s="3062">
        <v>129.22</v>
      </c>
      <c r="D201" s="3060">
        <f t="shared" ca="1" si="10"/>
        <v>129.52000000000001</v>
      </c>
      <c r="E201" s="3060">
        <f ca="1">结果表!$G$20</f>
        <v>10023</v>
      </c>
      <c r="F201" s="3071">
        <f t="shared" ca="1" si="11"/>
        <v>129.52000000000001</v>
      </c>
      <c r="G201" s="3072">
        <f t="shared" ca="1" si="12"/>
        <v>10023</v>
      </c>
    </row>
    <row r="202" spans="1:7">
      <c r="A202" s="3057">
        <v>34</v>
      </c>
      <c r="B202" s="3061" t="s">
        <v>3557</v>
      </c>
      <c r="C202" s="3062">
        <v>98</v>
      </c>
      <c r="D202" s="3060">
        <f t="shared" ca="1" si="10"/>
        <v>98.23</v>
      </c>
      <c r="E202" s="3060">
        <f ca="1">结果表!$G$20</f>
        <v>10023</v>
      </c>
      <c r="F202" s="3071">
        <f t="shared" ca="1" si="11"/>
        <v>98.23</v>
      </c>
      <c r="G202" s="3072">
        <f t="shared" ca="1" si="12"/>
        <v>10023</v>
      </c>
    </row>
    <row r="203" spans="1:7">
      <c r="A203" s="3057">
        <v>35</v>
      </c>
      <c r="B203" s="3061" t="s">
        <v>3558</v>
      </c>
      <c r="C203" s="3062">
        <v>98</v>
      </c>
      <c r="D203" s="3060">
        <f t="shared" ca="1" si="10"/>
        <v>98.23</v>
      </c>
      <c r="E203" s="3060">
        <f ca="1">结果表!$G$20</f>
        <v>10023</v>
      </c>
      <c r="F203" s="3071">
        <f t="shared" ca="1" si="11"/>
        <v>98.23</v>
      </c>
      <c r="G203" s="3072">
        <f t="shared" ca="1" si="12"/>
        <v>10023</v>
      </c>
    </row>
    <row r="204" spans="1:7">
      <c r="A204" s="3057">
        <v>36</v>
      </c>
      <c r="B204" s="3061" t="s">
        <v>3559</v>
      </c>
      <c r="C204" s="3062">
        <v>129.22</v>
      </c>
      <c r="D204" s="3060">
        <f t="shared" ca="1" si="10"/>
        <v>129.52000000000001</v>
      </c>
      <c r="E204" s="3060">
        <f ca="1">结果表!$G$20</f>
        <v>10023</v>
      </c>
      <c r="F204" s="3071">
        <f t="shared" ca="1" si="11"/>
        <v>129.52000000000001</v>
      </c>
      <c r="G204" s="3072">
        <f t="shared" ca="1" si="12"/>
        <v>10023</v>
      </c>
    </row>
    <row r="205" spans="1:7">
      <c r="A205" s="3057">
        <v>37</v>
      </c>
      <c r="B205" s="3061" t="s">
        <v>3560</v>
      </c>
      <c r="C205" s="3062">
        <v>129.22</v>
      </c>
      <c r="D205" s="3060">
        <f t="shared" ca="1" si="10"/>
        <v>129.52000000000001</v>
      </c>
      <c r="E205" s="3060">
        <f ca="1">结果表!$G$20</f>
        <v>10023</v>
      </c>
      <c r="F205" s="3071">
        <f t="shared" ca="1" si="11"/>
        <v>129.52000000000001</v>
      </c>
      <c r="G205" s="3072">
        <f t="shared" ca="1" si="12"/>
        <v>10023</v>
      </c>
    </row>
    <row r="206" spans="1:7">
      <c r="A206" s="3057">
        <v>38</v>
      </c>
      <c r="B206" s="3061" t="s">
        <v>3561</v>
      </c>
      <c r="C206" s="3062">
        <v>98</v>
      </c>
      <c r="D206" s="3060">
        <f t="shared" ca="1" si="10"/>
        <v>98.23</v>
      </c>
      <c r="E206" s="3060">
        <f ca="1">结果表!$G$20</f>
        <v>10023</v>
      </c>
      <c r="F206" s="3071">
        <f t="shared" ca="1" si="11"/>
        <v>98.23</v>
      </c>
      <c r="G206" s="3072">
        <f t="shared" ca="1" si="12"/>
        <v>10023</v>
      </c>
    </row>
    <row r="207" spans="1:7">
      <c r="A207" s="3057">
        <v>39</v>
      </c>
      <c r="B207" s="3061" t="s">
        <v>3562</v>
      </c>
      <c r="C207" s="3062">
        <v>98</v>
      </c>
      <c r="D207" s="3060">
        <f t="shared" ca="1" si="10"/>
        <v>98.23</v>
      </c>
      <c r="E207" s="3060">
        <f ca="1">结果表!$G$20</f>
        <v>10023</v>
      </c>
      <c r="F207" s="3071">
        <f t="shared" ca="1" si="11"/>
        <v>98.23</v>
      </c>
      <c r="G207" s="3072">
        <f t="shared" ca="1" si="12"/>
        <v>10023</v>
      </c>
    </row>
    <row r="208" spans="1:7">
      <c r="A208" s="3057">
        <v>40</v>
      </c>
      <c r="B208" s="3061" t="s">
        <v>3563</v>
      </c>
      <c r="C208" s="3062">
        <v>129.22</v>
      </c>
      <c r="D208" s="3060">
        <f t="shared" ca="1" si="10"/>
        <v>129.52000000000001</v>
      </c>
      <c r="E208" s="3060">
        <f ca="1">结果表!$G$20</f>
        <v>10023</v>
      </c>
      <c r="F208" s="3071">
        <f t="shared" ca="1" si="11"/>
        <v>129.52000000000001</v>
      </c>
      <c r="G208" s="3072">
        <f t="shared" ca="1" si="12"/>
        <v>10023</v>
      </c>
    </row>
    <row r="209" spans="1:7">
      <c r="A209" s="3057">
        <v>41</v>
      </c>
      <c r="B209" s="3061" t="s">
        <v>3564</v>
      </c>
      <c r="C209" s="3062">
        <v>129.22</v>
      </c>
      <c r="D209" s="3060">
        <f t="shared" ca="1" si="10"/>
        <v>129.52000000000001</v>
      </c>
      <c r="E209" s="3060">
        <f ca="1">结果表!$G$20</f>
        <v>10023</v>
      </c>
      <c r="F209" s="3071">
        <f t="shared" ca="1" si="11"/>
        <v>129.52000000000001</v>
      </c>
      <c r="G209" s="3072">
        <f t="shared" ca="1" si="12"/>
        <v>10023</v>
      </c>
    </row>
    <row r="210" spans="1:7">
      <c r="A210" s="3057">
        <v>42</v>
      </c>
      <c r="B210" s="3061" t="s">
        <v>3565</v>
      </c>
      <c r="C210" s="3062">
        <v>98</v>
      </c>
      <c r="D210" s="3060">
        <f t="shared" ca="1" si="10"/>
        <v>98.23</v>
      </c>
      <c r="E210" s="3060">
        <f ca="1">结果表!$G$20</f>
        <v>10023</v>
      </c>
      <c r="F210" s="3071">
        <f t="shared" ca="1" si="11"/>
        <v>98.23</v>
      </c>
      <c r="G210" s="3072">
        <f t="shared" ca="1" si="12"/>
        <v>10023</v>
      </c>
    </row>
    <row r="211" spans="1:7">
      <c r="A211" s="3057">
        <v>43</v>
      </c>
      <c r="B211" s="3061" t="s">
        <v>3566</v>
      </c>
      <c r="C211" s="3062">
        <v>98</v>
      </c>
      <c r="D211" s="3060">
        <f t="shared" ca="1" si="10"/>
        <v>98.23</v>
      </c>
      <c r="E211" s="3060">
        <f ca="1">结果表!$G$20</f>
        <v>10023</v>
      </c>
      <c r="F211" s="3071">
        <f t="shared" ca="1" si="11"/>
        <v>98.23</v>
      </c>
      <c r="G211" s="3072">
        <f t="shared" ca="1" si="12"/>
        <v>10023</v>
      </c>
    </row>
    <row r="212" spans="1:7">
      <c r="A212" s="3057">
        <v>44</v>
      </c>
      <c r="B212" s="3061" t="s">
        <v>3567</v>
      </c>
      <c r="C212" s="3062">
        <v>129.22</v>
      </c>
      <c r="D212" s="3060">
        <f t="shared" ca="1" si="10"/>
        <v>129.52000000000001</v>
      </c>
      <c r="E212" s="3060">
        <f ca="1">结果表!$G$20</f>
        <v>10023</v>
      </c>
      <c r="F212" s="3071">
        <f t="shared" ca="1" si="11"/>
        <v>129.52000000000001</v>
      </c>
      <c r="G212" s="3072">
        <f t="shared" ca="1" si="12"/>
        <v>10023</v>
      </c>
    </row>
    <row r="213" spans="1:7">
      <c r="A213" s="3057">
        <v>45</v>
      </c>
      <c r="B213" s="3061" t="s">
        <v>3568</v>
      </c>
      <c r="C213" s="3062">
        <v>129.22</v>
      </c>
      <c r="D213" s="3060">
        <f t="shared" ca="1" si="10"/>
        <v>129.52000000000001</v>
      </c>
      <c r="E213" s="3060">
        <f ca="1">结果表!$G$20</f>
        <v>10023</v>
      </c>
      <c r="F213" s="3071">
        <f t="shared" ca="1" si="11"/>
        <v>129.52000000000001</v>
      </c>
      <c r="G213" s="3072">
        <f t="shared" ca="1" si="12"/>
        <v>10023</v>
      </c>
    </row>
    <row r="214" spans="1:7">
      <c r="A214" s="3057">
        <v>46</v>
      </c>
      <c r="B214" s="3061" t="s">
        <v>3569</v>
      </c>
      <c r="C214" s="3062">
        <v>98</v>
      </c>
      <c r="D214" s="3060">
        <f t="shared" ca="1" si="10"/>
        <v>98.23</v>
      </c>
      <c r="E214" s="3060">
        <f ca="1">结果表!$G$20</f>
        <v>10023</v>
      </c>
      <c r="F214" s="3071">
        <f t="shared" ca="1" si="11"/>
        <v>98.23</v>
      </c>
      <c r="G214" s="3072">
        <f t="shared" ca="1" si="12"/>
        <v>10023</v>
      </c>
    </row>
    <row r="215" spans="1:7">
      <c r="A215" s="3057">
        <v>47</v>
      </c>
      <c r="B215" s="3061" t="s">
        <v>3570</v>
      </c>
      <c r="C215" s="3062">
        <v>98</v>
      </c>
      <c r="D215" s="3060">
        <f t="shared" ca="1" si="10"/>
        <v>98.23</v>
      </c>
      <c r="E215" s="3060">
        <f ca="1">结果表!$G$20</f>
        <v>10023</v>
      </c>
      <c r="F215" s="3071">
        <f t="shared" ca="1" si="11"/>
        <v>98.23</v>
      </c>
      <c r="G215" s="3072">
        <f t="shared" ca="1" si="12"/>
        <v>10023</v>
      </c>
    </row>
    <row r="216" spans="1:7">
      <c r="A216" s="3057">
        <v>48</v>
      </c>
      <c r="B216" s="3061" t="s">
        <v>3571</v>
      </c>
      <c r="C216" s="3062">
        <v>129.22</v>
      </c>
      <c r="D216" s="3060">
        <f t="shared" ca="1" si="10"/>
        <v>129.52000000000001</v>
      </c>
      <c r="E216" s="3060">
        <f ca="1">结果表!$G$20</f>
        <v>10023</v>
      </c>
      <c r="F216" s="3071">
        <f t="shared" ca="1" si="11"/>
        <v>129.52000000000001</v>
      </c>
      <c r="G216" s="3072">
        <f t="shared" ca="1" si="12"/>
        <v>10023</v>
      </c>
    </row>
    <row r="217" spans="1:7">
      <c r="A217" s="3057">
        <v>49</v>
      </c>
      <c r="B217" s="3061" t="s">
        <v>3572</v>
      </c>
      <c r="C217" s="3062">
        <v>129.22</v>
      </c>
      <c r="D217" s="3060">
        <f t="shared" ca="1" si="10"/>
        <v>129.52000000000001</v>
      </c>
      <c r="E217" s="3060">
        <f ca="1">结果表!$G$20</f>
        <v>10023</v>
      </c>
      <c r="F217" s="3071">
        <f t="shared" ca="1" si="11"/>
        <v>129.52000000000001</v>
      </c>
      <c r="G217" s="3072">
        <f t="shared" ca="1" si="12"/>
        <v>10023</v>
      </c>
    </row>
    <row r="218" spans="1:7">
      <c r="A218" s="3057">
        <v>50</v>
      </c>
      <c r="B218" s="3061" t="s">
        <v>3573</v>
      </c>
      <c r="C218" s="3062">
        <v>98</v>
      </c>
      <c r="D218" s="3060">
        <f t="shared" ca="1" si="10"/>
        <v>98.23</v>
      </c>
      <c r="E218" s="3060">
        <f ca="1">结果表!$G$20</f>
        <v>10023</v>
      </c>
      <c r="F218" s="3071">
        <f t="shared" ca="1" si="11"/>
        <v>98.23</v>
      </c>
      <c r="G218" s="3072">
        <f t="shared" ca="1" si="12"/>
        <v>10023</v>
      </c>
    </row>
    <row r="219" spans="1:7">
      <c r="A219" s="3057">
        <v>51</v>
      </c>
      <c r="B219" s="3061" t="s">
        <v>3574</v>
      </c>
      <c r="C219" s="3062">
        <v>98</v>
      </c>
      <c r="D219" s="3060">
        <f t="shared" ca="1" si="10"/>
        <v>98.23</v>
      </c>
      <c r="E219" s="3060">
        <f ca="1">结果表!$G$20</f>
        <v>10023</v>
      </c>
      <c r="F219" s="3071">
        <f t="shared" ca="1" si="11"/>
        <v>98.23</v>
      </c>
      <c r="G219" s="3072">
        <f t="shared" ca="1" si="12"/>
        <v>10023</v>
      </c>
    </row>
    <row r="220" spans="1:7">
      <c r="A220" s="3057">
        <v>52</v>
      </c>
      <c r="B220" s="3061" t="s">
        <v>3575</v>
      </c>
      <c r="C220" s="3062">
        <v>129.22</v>
      </c>
      <c r="D220" s="3060">
        <f t="shared" ca="1" si="10"/>
        <v>129.52000000000001</v>
      </c>
      <c r="E220" s="3060">
        <f ca="1">结果表!$G$20</f>
        <v>10023</v>
      </c>
      <c r="F220" s="3071">
        <f t="shared" ca="1" si="11"/>
        <v>129.52000000000001</v>
      </c>
      <c r="G220" s="3072">
        <f t="shared" ca="1" si="12"/>
        <v>10023</v>
      </c>
    </row>
    <row r="221" spans="1:7">
      <c r="A221" s="3057">
        <v>53</v>
      </c>
      <c r="B221" s="3061" t="s">
        <v>3576</v>
      </c>
      <c r="C221" s="3062">
        <v>129.22</v>
      </c>
      <c r="D221" s="3060">
        <f t="shared" ca="1" si="10"/>
        <v>129.52000000000001</v>
      </c>
      <c r="E221" s="3060">
        <f ca="1">结果表!$G$20</f>
        <v>10023</v>
      </c>
      <c r="F221" s="3071">
        <f t="shared" ca="1" si="11"/>
        <v>129.52000000000001</v>
      </c>
      <c r="G221" s="3072">
        <f t="shared" ca="1" si="12"/>
        <v>10023</v>
      </c>
    </row>
    <row r="222" spans="1:7">
      <c r="A222" s="3057">
        <v>54</v>
      </c>
      <c r="B222" s="3061" t="s">
        <v>3577</v>
      </c>
      <c r="C222" s="3062">
        <v>98</v>
      </c>
      <c r="D222" s="3060">
        <f t="shared" ca="1" si="10"/>
        <v>98.23</v>
      </c>
      <c r="E222" s="3060">
        <f ca="1">结果表!$G$20</f>
        <v>10023</v>
      </c>
      <c r="F222" s="3071">
        <f t="shared" ca="1" si="11"/>
        <v>98.23</v>
      </c>
      <c r="G222" s="3072">
        <f t="shared" ca="1" si="12"/>
        <v>10023</v>
      </c>
    </row>
    <row r="223" spans="1:7">
      <c r="A223" s="3057">
        <v>55</v>
      </c>
      <c r="B223" s="3061" t="s">
        <v>3578</v>
      </c>
      <c r="C223" s="3062">
        <v>98</v>
      </c>
      <c r="D223" s="3060">
        <f t="shared" ca="1" si="10"/>
        <v>98.23</v>
      </c>
      <c r="E223" s="3060">
        <f ca="1">结果表!$G$20</f>
        <v>10023</v>
      </c>
      <c r="F223" s="3071">
        <f t="shared" ca="1" si="11"/>
        <v>98.23</v>
      </c>
      <c r="G223" s="3072">
        <f t="shared" ca="1" si="12"/>
        <v>10023</v>
      </c>
    </row>
    <row r="224" spans="1:7">
      <c r="A224" s="3057">
        <v>56</v>
      </c>
      <c r="B224" s="3061" t="s">
        <v>3579</v>
      </c>
      <c r="C224" s="3062">
        <v>129.22</v>
      </c>
      <c r="D224" s="3060">
        <f t="shared" ca="1" si="10"/>
        <v>129.52000000000001</v>
      </c>
      <c r="E224" s="3060">
        <f ca="1">结果表!$G$20</f>
        <v>10023</v>
      </c>
      <c r="F224" s="3071">
        <f t="shared" ca="1" si="11"/>
        <v>129.52000000000001</v>
      </c>
      <c r="G224" s="3072">
        <f t="shared" ca="1" si="12"/>
        <v>10023</v>
      </c>
    </row>
    <row r="225" spans="1:7">
      <c r="A225" s="3057">
        <v>57</v>
      </c>
      <c r="B225" s="3061" t="s">
        <v>3580</v>
      </c>
      <c r="C225" s="3062">
        <v>129.22</v>
      </c>
      <c r="D225" s="3060">
        <f t="shared" ca="1" si="10"/>
        <v>129.52000000000001</v>
      </c>
      <c r="E225" s="3060">
        <f ca="1">结果表!$G$20</f>
        <v>10023</v>
      </c>
      <c r="F225" s="3071">
        <f t="shared" ca="1" si="11"/>
        <v>129.52000000000001</v>
      </c>
      <c r="G225" s="3072">
        <f t="shared" ca="1" si="12"/>
        <v>10023</v>
      </c>
    </row>
    <row r="226" spans="1:7">
      <c r="A226" s="3057">
        <v>58</v>
      </c>
      <c r="B226" s="3061" t="s">
        <v>3581</v>
      </c>
      <c r="C226" s="3062">
        <v>98</v>
      </c>
      <c r="D226" s="3060">
        <f t="shared" ca="1" si="10"/>
        <v>98.23</v>
      </c>
      <c r="E226" s="3060">
        <f ca="1">结果表!$G$20</f>
        <v>10023</v>
      </c>
      <c r="F226" s="3071">
        <f t="shared" ca="1" si="11"/>
        <v>98.23</v>
      </c>
      <c r="G226" s="3072">
        <f t="shared" ca="1" si="12"/>
        <v>10023</v>
      </c>
    </row>
    <row r="227" spans="1:7">
      <c r="A227" s="3057">
        <v>59</v>
      </c>
      <c r="B227" s="3061" t="s">
        <v>3582</v>
      </c>
      <c r="C227" s="3062">
        <v>98</v>
      </c>
      <c r="D227" s="3060">
        <f t="shared" ca="1" si="10"/>
        <v>98.23</v>
      </c>
      <c r="E227" s="3060">
        <f ca="1">结果表!$G$20</f>
        <v>10023</v>
      </c>
      <c r="F227" s="3071">
        <f t="shared" ca="1" si="11"/>
        <v>98.23</v>
      </c>
      <c r="G227" s="3072">
        <f t="shared" ca="1" si="12"/>
        <v>10023</v>
      </c>
    </row>
    <row r="228" spans="1:7">
      <c r="A228" s="3057">
        <v>60</v>
      </c>
      <c r="B228" s="3061" t="s">
        <v>3583</v>
      </c>
      <c r="C228" s="3062">
        <v>129.22</v>
      </c>
      <c r="D228" s="3060">
        <f t="shared" ca="1" si="10"/>
        <v>129.52000000000001</v>
      </c>
      <c r="E228" s="3060">
        <f ca="1">结果表!$G$20</f>
        <v>10023</v>
      </c>
      <c r="F228" s="3071">
        <f t="shared" ca="1" si="11"/>
        <v>129.52000000000001</v>
      </c>
      <c r="G228" s="3072">
        <f t="shared" ca="1" si="12"/>
        <v>10023</v>
      </c>
    </row>
    <row r="229" spans="1:7">
      <c r="A229" s="3057">
        <v>61</v>
      </c>
      <c r="B229" s="3061" t="s">
        <v>3584</v>
      </c>
      <c r="C229" s="3062">
        <v>129.22</v>
      </c>
      <c r="D229" s="3060">
        <f t="shared" ca="1" si="10"/>
        <v>129.52000000000001</v>
      </c>
      <c r="E229" s="3060">
        <f ca="1">结果表!$G$20</f>
        <v>10023</v>
      </c>
      <c r="F229" s="3071">
        <f t="shared" ca="1" si="11"/>
        <v>129.52000000000001</v>
      </c>
      <c r="G229" s="3072">
        <f t="shared" ca="1" si="12"/>
        <v>10023</v>
      </c>
    </row>
    <row r="230" spans="1:7">
      <c r="A230" s="3057">
        <v>62</v>
      </c>
      <c r="B230" s="3061" t="s">
        <v>3585</v>
      </c>
      <c r="C230" s="3062">
        <v>98</v>
      </c>
      <c r="D230" s="3060">
        <f ca="1">ROUND(E230*C230/10000,2)</f>
        <v>98.23</v>
      </c>
      <c r="E230" s="3060">
        <f ca="1">结果表!$G$20</f>
        <v>10023</v>
      </c>
      <c r="F230" s="3071">
        <f t="shared" ca="1" si="11"/>
        <v>98.23</v>
      </c>
      <c r="G230" s="3072">
        <f t="shared" ca="1" si="12"/>
        <v>10023</v>
      </c>
    </row>
    <row r="231" spans="1:7">
      <c r="A231" s="3057">
        <v>63</v>
      </c>
      <c r="B231" s="3061" t="s">
        <v>3586</v>
      </c>
      <c r="C231" s="3062">
        <v>98</v>
      </c>
      <c r="D231" s="3060">
        <f t="shared" ca="1" si="10"/>
        <v>98.23</v>
      </c>
      <c r="E231" s="3060">
        <f ca="1">结果表!$G$20</f>
        <v>10023</v>
      </c>
      <c r="F231" s="3071">
        <f t="shared" ca="1" si="11"/>
        <v>98.23</v>
      </c>
      <c r="G231" s="3072">
        <f t="shared" ca="1" si="12"/>
        <v>10023</v>
      </c>
    </row>
    <row r="232" spans="1:7">
      <c r="A232" s="3057">
        <v>64</v>
      </c>
      <c r="B232" s="3061" t="s">
        <v>3587</v>
      </c>
      <c r="C232" s="3062">
        <v>129.22</v>
      </c>
      <c r="D232" s="3060">
        <f t="shared" ca="1" si="10"/>
        <v>129.52000000000001</v>
      </c>
      <c r="E232" s="3060">
        <f ca="1">结果表!$G$20</f>
        <v>10023</v>
      </c>
      <c r="F232" s="3071">
        <f t="shared" ca="1" si="11"/>
        <v>129.52000000000001</v>
      </c>
      <c r="G232" s="3072">
        <f t="shared" ca="1" si="12"/>
        <v>10023</v>
      </c>
    </row>
    <row r="233" spans="1:7">
      <c r="A233" s="3057">
        <v>65</v>
      </c>
      <c r="B233" s="3061" t="s">
        <v>3588</v>
      </c>
      <c r="C233" s="3062">
        <v>129.22</v>
      </c>
      <c r="D233" s="3060">
        <f t="shared" ca="1" si="10"/>
        <v>129.52000000000001</v>
      </c>
      <c r="E233" s="3060">
        <f ca="1">结果表!$G$20</f>
        <v>10023</v>
      </c>
      <c r="F233" s="3071">
        <f t="shared" ca="1" si="11"/>
        <v>129.52000000000001</v>
      </c>
      <c r="G233" s="3072">
        <f t="shared" ca="1" si="12"/>
        <v>10023</v>
      </c>
    </row>
    <row r="234" spans="1:7">
      <c r="A234" s="3057">
        <v>66</v>
      </c>
      <c r="B234" s="3061" t="s">
        <v>3589</v>
      </c>
      <c r="C234" s="3062">
        <v>98</v>
      </c>
      <c r="D234" s="3060">
        <f t="shared" ref="D234:D260" ca="1" si="13">ROUND(E234*C234/10000,2)</f>
        <v>98.23</v>
      </c>
      <c r="E234" s="3060">
        <f ca="1">结果表!$G$20</f>
        <v>10023</v>
      </c>
      <c r="F234" s="3071">
        <f t="shared" ref="F234:F297" ca="1" si="14">D234</f>
        <v>98.23</v>
      </c>
      <c r="G234" s="3072">
        <f t="shared" ref="G234:G260" ca="1" si="15">E234</f>
        <v>10023</v>
      </c>
    </row>
    <row r="235" spans="1:7">
      <c r="A235" s="3057">
        <v>67</v>
      </c>
      <c r="B235" s="3061" t="s">
        <v>3590</v>
      </c>
      <c r="C235" s="3062">
        <v>98</v>
      </c>
      <c r="D235" s="3060">
        <f t="shared" ca="1" si="13"/>
        <v>98.23</v>
      </c>
      <c r="E235" s="3060">
        <f ca="1">结果表!$G$20</f>
        <v>10023</v>
      </c>
      <c r="F235" s="3071">
        <f t="shared" ca="1" si="14"/>
        <v>98.23</v>
      </c>
      <c r="G235" s="3072">
        <f t="shared" ca="1" si="15"/>
        <v>10023</v>
      </c>
    </row>
    <row r="236" spans="1:7">
      <c r="A236" s="3057">
        <v>68</v>
      </c>
      <c r="B236" s="3061" t="s">
        <v>3591</v>
      </c>
      <c r="C236" s="3062">
        <v>129.22</v>
      </c>
      <c r="D236" s="3060">
        <f t="shared" ca="1" si="13"/>
        <v>129.52000000000001</v>
      </c>
      <c r="E236" s="3060">
        <f ca="1">结果表!$G$20</f>
        <v>10023</v>
      </c>
      <c r="F236" s="3071">
        <f t="shared" ca="1" si="14"/>
        <v>129.52000000000001</v>
      </c>
      <c r="G236" s="3072">
        <f t="shared" ca="1" si="15"/>
        <v>10023</v>
      </c>
    </row>
    <row r="237" spans="1:7">
      <c r="A237" s="3057">
        <v>69</v>
      </c>
      <c r="B237" s="3061" t="s">
        <v>3592</v>
      </c>
      <c r="C237" s="3062">
        <v>129.22</v>
      </c>
      <c r="D237" s="3060">
        <f t="shared" ca="1" si="13"/>
        <v>129.52000000000001</v>
      </c>
      <c r="E237" s="3060">
        <f ca="1">结果表!$G$20</f>
        <v>10023</v>
      </c>
      <c r="F237" s="3071">
        <f t="shared" ca="1" si="14"/>
        <v>129.52000000000001</v>
      </c>
      <c r="G237" s="3072">
        <f t="shared" ca="1" si="15"/>
        <v>10023</v>
      </c>
    </row>
    <row r="238" spans="1:7">
      <c r="A238" s="3057">
        <v>70</v>
      </c>
      <c r="B238" s="3061" t="s">
        <v>3593</v>
      </c>
      <c r="C238" s="3062">
        <v>98</v>
      </c>
      <c r="D238" s="3060">
        <f t="shared" ca="1" si="13"/>
        <v>98.23</v>
      </c>
      <c r="E238" s="3060">
        <f ca="1">结果表!$G$20</f>
        <v>10023</v>
      </c>
      <c r="F238" s="3071">
        <f t="shared" ca="1" si="14"/>
        <v>98.23</v>
      </c>
      <c r="G238" s="3072">
        <f t="shared" ca="1" si="15"/>
        <v>10023</v>
      </c>
    </row>
    <row r="239" spans="1:7">
      <c r="A239" s="3057">
        <v>71</v>
      </c>
      <c r="B239" s="3061" t="s">
        <v>3594</v>
      </c>
      <c r="C239" s="3062">
        <v>98</v>
      </c>
      <c r="D239" s="3060">
        <f t="shared" ca="1" si="13"/>
        <v>98.23</v>
      </c>
      <c r="E239" s="3060">
        <f ca="1">结果表!$G$20</f>
        <v>10023</v>
      </c>
      <c r="F239" s="3071">
        <f t="shared" ca="1" si="14"/>
        <v>98.23</v>
      </c>
      <c r="G239" s="3072">
        <f t="shared" ca="1" si="15"/>
        <v>10023</v>
      </c>
    </row>
    <row r="240" spans="1:7">
      <c r="A240" s="3057">
        <v>72</v>
      </c>
      <c r="B240" s="3061" t="s">
        <v>3595</v>
      </c>
      <c r="C240" s="3062">
        <v>129.22</v>
      </c>
      <c r="D240" s="3060">
        <f t="shared" ca="1" si="13"/>
        <v>129.52000000000001</v>
      </c>
      <c r="E240" s="3060">
        <f ca="1">结果表!$G$20</f>
        <v>10023</v>
      </c>
      <c r="F240" s="3071">
        <f t="shared" ca="1" si="14"/>
        <v>129.52000000000001</v>
      </c>
      <c r="G240" s="3072">
        <f t="shared" ca="1" si="15"/>
        <v>10023</v>
      </c>
    </row>
    <row r="241" spans="1:7">
      <c r="A241" s="3057">
        <v>73</v>
      </c>
      <c r="B241" s="3061" t="s">
        <v>3596</v>
      </c>
      <c r="C241" s="3062">
        <v>129.22</v>
      </c>
      <c r="D241" s="3060">
        <f t="shared" ca="1" si="13"/>
        <v>129.52000000000001</v>
      </c>
      <c r="E241" s="3060">
        <f ca="1">结果表!$G$20</f>
        <v>10023</v>
      </c>
      <c r="F241" s="3071">
        <f t="shared" ca="1" si="14"/>
        <v>129.52000000000001</v>
      </c>
      <c r="G241" s="3072">
        <f t="shared" ca="1" si="15"/>
        <v>10023</v>
      </c>
    </row>
    <row r="242" spans="1:7">
      <c r="A242" s="3057">
        <v>74</v>
      </c>
      <c r="B242" s="3061" t="s">
        <v>3597</v>
      </c>
      <c r="C242" s="3062">
        <v>98</v>
      </c>
      <c r="D242" s="3060">
        <f t="shared" ca="1" si="13"/>
        <v>98.23</v>
      </c>
      <c r="E242" s="3060">
        <f ca="1">结果表!$G$20</f>
        <v>10023</v>
      </c>
      <c r="F242" s="3071">
        <f t="shared" ca="1" si="14"/>
        <v>98.23</v>
      </c>
      <c r="G242" s="3072">
        <f t="shared" ca="1" si="15"/>
        <v>10023</v>
      </c>
    </row>
    <row r="243" spans="1:7">
      <c r="A243" s="3057">
        <v>75</v>
      </c>
      <c r="B243" s="3061" t="s">
        <v>3598</v>
      </c>
      <c r="C243" s="3062">
        <v>98</v>
      </c>
      <c r="D243" s="3060">
        <f t="shared" ca="1" si="13"/>
        <v>98.23</v>
      </c>
      <c r="E243" s="3060">
        <f ca="1">结果表!$G$20</f>
        <v>10023</v>
      </c>
      <c r="F243" s="3071">
        <f t="shared" ca="1" si="14"/>
        <v>98.23</v>
      </c>
      <c r="G243" s="3072">
        <f t="shared" ca="1" si="15"/>
        <v>10023</v>
      </c>
    </row>
    <row r="244" spans="1:7">
      <c r="A244" s="3057">
        <v>76</v>
      </c>
      <c r="B244" s="3061" t="s">
        <v>3599</v>
      </c>
      <c r="C244" s="3062">
        <v>129.22</v>
      </c>
      <c r="D244" s="3060">
        <f t="shared" ca="1" si="13"/>
        <v>129.52000000000001</v>
      </c>
      <c r="E244" s="3060">
        <f ca="1">结果表!$G$20</f>
        <v>10023</v>
      </c>
      <c r="F244" s="3071">
        <f t="shared" ca="1" si="14"/>
        <v>129.52000000000001</v>
      </c>
      <c r="G244" s="3072">
        <f t="shared" ca="1" si="15"/>
        <v>10023</v>
      </c>
    </row>
    <row r="245" spans="1:7">
      <c r="A245" s="3057">
        <v>77</v>
      </c>
      <c r="B245" s="3061" t="s">
        <v>3600</v>
      </c>
      <c r="C245" s="3062">
        <v>129.22</v>
      </c>
      <c r="D245" s="3060">
        <f t="shared" ca="1" si="13"/>
        <v>129.52000000000001</v>
      </c>
      <c r="E245" s="3060">
        <f ca="1">结果表!$G$20</f>
        <v>10023</v>
      </c>
      <c r="F245" s="3071">
        <f t="shared" ca="1" si="14"/>
        <v>129.52000000000001</v>
      </c>
      <c r="G245" s="3072">
        <f t="shared" ca="1" si="15"/>
        <v>10023</v>
      </c>
    </row>
    <row r="246" spans="1:7">
      <c r="A246" s="3057">
        <v>78</v>
      </c>
      <c r="B246" s="3061" t="s">
        <v>3601</v>
      </c>
      <c r="C246" s="3062">
        <v>98</v>
      </c>
      <c r="D246" s="3060">
        <f t="shared" ca="1" si="13"/>
        <v>98.23</v>
      </c>
      <c r="E246" s="3060">
        <f ca="1">结果表!$G$20</f>
        <v>10023</v>
      </c>
      <c r="F246" s="3071">
        <f t="shared" ca="1" si="14"/>
        <v>98.23</v>
      </c>
      <c r="G246" s="3072">
        <f t="shared" ca="1" si="15"/>
        <v>10023</v>
      </c>
    </row>
    <row r="247" spans="1:7">
      <c r="A247" s="3057">
        <v>79</v>
      </c>
      <c r="B247" s="3061" t="s">
        <v>3602</v>
      </c>
      <c r="C247" s="3062">
        <v>98</v>
      </c>
      <c r="D247" s="3060">
        <f t="shared" ca="1" si="13"/>
        <v>98.23</v>
      </c>
      <c r="E247" s="3060">
        <f ca="1">结果表!$G$20</f>
        <v>10023</v>
      </c>
      <c r="F247" s="3071">
        <f t="shared" ca="1" si="14"/>
        <v>98.23</v>
      </c>
      <c r="G247" s="3072">
        <f t="shared" ca="1" si="15"/>
        <v>10023</v>
      </c>
    </row>
    <row r="248" spans="1:7">
      <c r="A248" s="3057">
        <v>80</v>
      </c>
      <c r="B248" s="3061" t="s">
        <v>3603</v>
      </c>
      <c r="C248" s="3062">
        <v>129.22</v>
      </c>
      <c r="D248" s="3060">
        <f t="shared" ca="1" si="13"/>
        <v>129.52000000000001</v>
      </c>
      <c r="E248" s="3060">
        <f ca="1">结果表!$G$20</f>
        <v>10023</v>
      </c>
      <c r="F248" s="3071">
        <f t="shared" ca="1" si="14"/>
        <v>129.52000000000001</v>
      </c>
      <c r="G248" s="3072">
        <f t="shared" ca="1" si="15"/>
        <v>10023</v>
      </c>
    </row>
    <row r="249" spans="1:7">
      <c r="A249" s="3057">
        <v>81</v>
      </c>
      <c r="B249" s="3061" t="s">
        <v>3604</v>
      </c>
      <c r="C249" s="3062">
        <v>129.22</v>
      </c>
      <c r="D249" s="3060">
        <f t="shared" ca="1" si="13"/>
        <v>129.52000000000001</v>
      </c>
      <c r="E249" s="3060">
        <f ca="1">结果表!$G$20</f>
        <v>10023</v>
      </c>
      <c r="F249" s="3071">
        <f t="shared" ca="1" si="14"/>
        <v>129.52000000000001</v>
      </c>
      <c r="G249" s="3072">
        <f t="shared" ca="1" si="15"/>
        <v>10023</v>
      </c>
    </row>
    <row r="250" spans="1:7">
      <c r="A250" s="3057">
        <v>82</v>
      </c>
      <c r="B250" s="3061" t="s">
        <v>3605</v>
      </c>
      <c r="C250" s="3062">
        <v>98</v>
      </c>
      <c r="D250" s="3060">
        <f t="shared" ca="1" si="13"/>
        <v>98.23</v>
      </c>
      <c r="E250" s="3060">
        <f ca="1">结果表!$G$20</f>
        <v>10023</v>
      </c>
      <c r="F250" s="3071">
        <f t="shared" ca="1" si="14"/>
        <v>98.23</v>
      </c>
      <c r="G250" s="3072">
        <f t="shared" ca="1" si="15"/>
        <v>10023</v>
      </c>
    </row>
    <row r="251" spans="1:7">
      <c r="A251" s="3057">
        <v>83</v>
      </c>
      <c r="B251" s="3061" t="s">
        <v>3606</v>
      </c>
      <c r="C251" s="3062">
        <v>98</v>
      </c>
      <c r="D251" s="3060">
        <f t="shared" ca="1" si="13"/>
        <v>98.23</v>
      </c>
      <c r="E251" s="3060">
        <f ca="1">结果表!$G$20</f>
        <v>10023</v>
      </c>
      <c r="F251" s="3071">
        <f t="shared" ca="1" si="14"/>
        <v>98.23</v>
      </c>
      <c r="G251" s="3072">
        <f t="shared" ca="1" si="15"/>
        <v>10023</v>
      </c>
    </row>
    <row r="252" spans="1:7">
      <c r="A252" s="3057">
        <v>84</v>
      </c>
      <c r="B252" s="3061" t="s">
        <v>3607</v>
      </c>
      <c r="C252" s="3062">
        <v>129.22</v>
      </c>
      <c r="D252" s="3060">
        <f t="shared" ca="1" si="13"/>
        <v>129.52000000000001</v>
      </c>
      <c r="E252" s="3060">
        <f ca="1">结果表!$G$20</f>
        <v>10023</v>
      </c>
      <c r="F252" s="3071">
        <f t="shared" ca="1" si="14"/>
        <v>129.52000000000001</v>
      </c>
      <c r="G252" s="3072">
        <f t="shared" ca="1" si="15"/>
        <v>10023</v>
      </c>
    </row>
    <row r="253" spans="1:7">
      <c r="A253" s="3057">
        <v>85</v>
      </c>
      <c r="B253" s="3061" t="s">
        <v>3608</v>
      </c>
      <c r="C253" s="3062">
        <v>129.22</v>
      </c>
      <c r="D253" s="3060">
        <f t="shared" ca="1" si="13"/>
        <v>129.52000000000001</v>
      </c>
      <c r="E253" s="3060">
        <f ca="1">结果表!$G$20</f>
        <v>10023</v>
      </c>
      <c r="F253" s="3071">
        <f t="shared" ca="1" si="14"/>
        <v>129.52000000000001</v>
      </c>
      <c r="G253" s="3072">
        <f t="shared" ca="1" si="15"/>
        <v>10023</v>
      </c>
    </row>
    <row r="254" spans="1:7">
      <c r="A254" s="3057">
        <v>86</v>
      </c>
      <c r="B254" s="3061" t="s">
        <v>3609</v>
      </c>
      <c r="C254" s="3062">
        <v>98</v>
      </c>
      <c r="D254" s="3060">
        <f t="shared" ca="1" si="13"/>
        <v>98.23</v>
      </c>
      <c r="E254" s="3060">
        <f ca="1">结果表!$G$20</f>
        <v>10023</v>
      </c>
      <c r="F254" s="3071">
        <f t="shared" ca="1" si="14"/>
        <v>98.23</v>
      </c>
      <c r="G254" s="3072">
        <f t="shared" ca="1" si="15"/>
        <v>10023</v>
      </c>
    </row>
    <row r="255" spans="1:7">
      <c r="A255" s="3057">
        <v>87</v>
      </c>
      <c r="B255" s="3061" t="s">
        <v>3610</v>
      </c>
      <c r="C255" s="3062">
        <v>98</v>
      </c>
      <c r="D255" s="3060">
        <f t="shared" ca="1" si="13"/>
        <v>98.23</v>
      </c>
      <c r="E255" s="3060">
        <f ca="1">结果表!$G$20</f>
        <v>10023</v>
      </c>
      <c r="F255" s="3071">
        <f t="shared" ca="1" si="14"/>
        <v>98.23</v>
      </c>
      <c r="G255" s="3072">
        <f t="shared" ca="1" si="15"/>
        <v>10023</v>
      </c>
    </row>
    <row r="256" spans="1:7">
      <c r="A256" s="3057">
        <v>88</v>
      </c>
      <c r="B256" s="3061" t="s">
        <v>3611</v>
      </c>
      <c r="C256" s="3062">
        <v>129.22</v>
      </c>
      <c r="D256" s="3060">
        <f t="shared" ca="1" si="13"/>
        <v>129.52000000000001</v>
      </c>
      <c r="E256" s="3060">
        <f ca="1">结果表!$G$20</f>
        <v>10023</v>
      </c>
      <c r="F256" s="3071">
        <f t="shared" ca="1" si="14"/>
        <v>129.52000000000001</v>
      </c>
      <c r="G256" s="3072">
        <f t="shared" ca="1" si="15"/>
        <v>10023</v>
      </c>
    </row>
    <row r="257" spans="1:7">
      <c r="A257" s="3057">
        <v>89</v>
      </c>
      <c r="B257" s="3061" t="s">
        <v>3612</v>
      </c>
      <c r="C257" s="3062">
        <v>129.22</v>
      </c>
      <c r="D257" s="3060">
        <f t="shared" ca="1" si="13"/>
        <v>129.52000000000001</v>
      </c>
      <c r="E257" s="3060">
        <f ca="1">结果表!$G$20</f>
        <v>10023</v>
      </c>
      <c r="F257" s="3071">
        <f t="shared" ca="1" si="14"/>
        <v>129.52000000000001</v>
      </c>
      <c r="G257" s="3072">
        <f t="shared" ca="1" si="15"/>
        <v>10023</v>
      </c>
    </row>
    <row r="258" spans="1:7">
      <c r="A258" s="3057">
        <v>90</v>
      </c>
      <c r="B258" s="3061" t="s">
        <v>3613</v>
      </c>
      <c r="C258" s="3062">
        <v>98</v>
      </c>
      <c r="D258" s="3060">
        <f t="shared" ca="1" si="13"/>
        <v>98.23</v>
      </c>
      <c r="E258" s="3060">
        <f ca="1">结果表!$G$20</f>
        <v>10023</v>
      </c>
      <c r="F258" s="3071">
        <f t="shared" ca="1" si="14"/>
        <v>98.23</v>
      </c>
      <c r="G258" s="3072">
        <f t="shared" ca="1" si="15"/>
        <v>10023</v>
      </c>
    </row>
    <row r="259" spans="1:7">
      <c r="A259" s="3057">
        <v>91</v>
      </c>
      <c r="B259" s="3061" t="s">
        <v>3614</v>
      </c>
      <c r="C259" s="3062">
        <v>98</v>
      </c>
      <c r="D259" s="3060">
        <f t="shared" ca="1" si="13"/>
        <v>98.23</v>
      </c>
      <c r="E259" s="3060">
        <f ca="1">结果表!$G$20</f>
        <v>10023</v>
      </c>
      <c r="F259" s="3071">
        <f t="shared" ca="1" si="14"/>
        <v>98.23</v>
      </c>
      <c r="G259" s="3072">
        <f t="shared" ca="1" si="15"/>
        <v>10023</v>
      </c>
    </row>
    <row r="260" spans="1:7">
      <c r="A260" s="3057">
        <v>92</v>
      </c>
      <c r="B260" s="3061" t="s">
        <v>3615</v>
      </c>
      <c r="C260" s="3062">
        <v>129.22</v>
      </c>
      <c r="D260" s="3060">
        <f t="shared" ca="1" si="13"/>
        <v>129.52000000000001</v>
      </c>
      <c r="E260" s="3060">
        <f ca="1">结果表!$G$20</f>
        <v>10023</v>
      </c>
      <c r="F260" s="3071">
        <f t="shared" ca="1" si="14"/>
        <v>129.52000000000001</v>
      </c>
      <c r="G260" s="3072">
        <f t="shared" ca="1" si="15"/>
        <v>10023</v>
      </c>
    </row>
    <row r="261" spans="1:7">
      <c r="A261" s="3318" t="s">
        <v>3324</v>
      </c>
      <c r="B261" s="3318"/>
      <c r="C261" s="3054">
        <f>SUM(C169:C260)</f>
        <v>10452.119999999997</v>
      </c>
      <c r="D261" s="3067">
        <f ca="1">SUM(D169:D260)</f>
        <v>10476.5</v>
      </c>
      <c r="E261" s="3060">
        <f ca="1">结果表!$G$20</f>
        <v>10023</v>
      </c>
      <c r="F261" s="3071">
        <f t="shared" ca="1" si="14"/>
        <v>10476.5</v>
      </c>
      <c r="G261" s="2957" t="s">
        <v>3833</v>
      </c>
    </row>
    <row r="262" spans="1:7">
      <c r="A262" s="3057">
        <v>1</v>
      </c>
      <c r="B262" s="3058" t="s">
        <v>3616</v>
      </c>
      <c r="C262" s="3059">
        <v>129.68</v>
      </c>
      <c r="D262" s="3060">
        <f ca="1">ROUND(E262*C262/10000,2)</f>
        <v>129.97999999999999</v>
      </c>
      <c r="E262" s="3060">
        <f ca="1">结果表!$G$20</f>
        <v>10023</v>
      </c>
      <c r="F262" s="3071">
        <f t="shared" ca="1" si="14"/>
        <v>129.97999999999999</v>
      </c>
      <c r="G262" s="2957">
        <f ca="1">E262</f>
        <v>10023</v>
      </c>
    </row>
    <row r="263" spans="1:7">
      <c r="A263" s="3057">
        <v>2</v>
      </c>
      <c r="B263" s="3058" t="s">
        <v>3617</v>
      </c>
      <c r="C263" s="3059">
        <v>129.68</v>
      </c>
      <c r="D263" s="3060">
        <f t="shared" ref="D263:D326" ca="1" si="16">ROUND(E263*C263/10000,2)</f>
        <v>129.97999999999999</v>
      </c>
      <c r="E263" s="3060">
        <f ca="1">结果表!$G$20</f>
        <v>10023</v>
      </c>
      <c r="F263" s="3071">
        <f t="shared" ca="1" si="14"/>
        <v>129.97999999999999</v>
      </c>
      <c r="G263" s="2957">
        <f t="shared" ref="G263:G326" ca="1" si="17">E263</f>
        <v>10023</v>
      </c>
    </row>
    <row r="264" spans="1:7">
      <c r="A264" s="3057">
        <v>3</v>
      </c>
      <c r="B264" s="3058" t="s">
        <v>3618</v>
      </c>
      <c r="C264" s="3059">
        <v>129.68</v>
      </c>
      <c r="D264" s="3060">
        <f t="shared" ca="1" si="16"/>
        <v>129.97999999999999</v>
      </c>
      <c r="E264" s="3060">
        <f ca="1">结果表!$G$20</f>
        <v>10023</v>
      </c>
      <c r="F264" s="3071">
        <f t="shared" ca="1" si="14"/>
        <v>129.97999999999999</v>
      </c>
      <c r="G264" s="2957">
        <f t="shared" ca="1" si="17"/>
        <v>10023</v>
      </c>
    </row>
    <row r="265" spans="1:7">
      <c r="A265" s="3057">
        <v>4</v>
      </c>
      <c r="B265" s="3058" t="s">
        <v>3619</v>
      </c>
      <c r="C265" s="3059">
        <v>98.35</v>
      </c>
      <c r="D265" s="3060">
        <f t="shared" ca="1" si="16"/>
        <v>98.58</v>
      </c>
      <c r="E265" s="3060">
        <f ca="1">结果表!$G$20</f>
        <v>10023</v>
      </c>
      <c r="F265" s="3071">
        <f t="shared" ca="1" si="14"/>
        <v>98.58</v>
      </c>
      <c r="G265" s="2957">
        <f t="shared" ca="1" si="17"/>
        <v>10023</v>
      </c>
    </row>
    <row r="266" spans="1:7">
      <c r="A266" s="3057">
        <v>5</v>
      </c>
      <c r="B266" s="3058" t="s">
        <v>3620</v>
      </c>
      <c r="C266" s="3059">
        <v>98.35</v>
      </c>
      <c r="D266" s="3060">
        <f t="shared" ca="1" si="16"/>
        <v>98.58</v>
      </c>
      <c r="E266" s="3060">
        <f ca="1">结果表!$G$20</f>
        <v>10023</v>
      </c>
      <c r="F266" s="3071">
        <f t="shared" ca="1" si="14"/>
        <v>98.58</v>
      </c>
      <c r="G266" s="2957">
        <f t="shared" ca="1" si="17"/>
        <v>10023</v>
      </c>
    </row>
    <row r="267" spans="1:7">
      <c r="A267" s="3057">
        <v>6</v>
      </c>
      <c r="B267" s="3058" t="s">
        <v>3621</v>
      </c>
      <c r="C267" s="3059">
        <v>129.68</v>
      </c>
      <c r="D267" s="3060">
        <f t="shared" ca="1" si="16"/>
        <v>129.97999999999999</v>
      </c>
      <c r="E267" s="3060">
        <f ca="1">结果表!$G$20</f>
        <v>10023</v>
      </c>
      <c r="F267" s="3071">
        <f t="shared" ca="1" si="14"/>
        <v>129.97999999999999</v>
      </c>
      <c r="G267" s="2957">
        <f t="shared" ca="1" si="17"/>
        <v>10023</v>
      </c>
    </row>
    <row r="268" spans="1:7">
      <c r="A268" s="3057">
        <v>7</v>
      </c>
      <c r="B268" s="3058" t="s">
        <v>3622</v>
      </c>
      <c r="C268" s="3059">
        <v>129.68</v>
      </c>
      <c r="D268" s="3060">
        <f t="shared" ca="1" si="16"/>
        <v>129.97999999999999</v>
      </c>
      <c r="E268" s="3060">
        <f ca="1">结果表!$G$20</f>
        <v>10023</v>
      </c>
      <c r="F268" s="3071">
        <f t="shared" ca="1" si="14"/>
        <v>129.97999999999999</v>
      </c>
      <c r="G268" s="2957">
        <f t="shared" ca="1" si="17"/>
        <v>10023</v>
      </c>
    </row>
    <row r="269" spans="1:7">
      <c r="A269" s="3057">
        <v>8</v>
      </c>
      <c r="B269" s="3058" t="s">
        <v>3623</v>
      </c>
      <c r="C269" s="3059">
        <v>98.35</v>
      </c>
      <c r="D269" s="3060">
        <f t="shared" ca="1" si="16"/>
        <v>98.58</v>
      </c>
      <c r="E269" s="3060">
        <f ca="1">结果表!$G$20</f>
        <v>10023</v>
      </c>
      <c r="F269" s="3071">
        <f t="shared" ca="1" si="14"/>
        <v>98.58</v>
      </c>
      <c r="G269" s="2957">
        <f t="shared" ca="1" si="17"/>
        <v>10023</v>
      </c>
    </row>
    <row r="270" spans="1:7">
      <c r="A270" s="3057">
        <v>9</v>
      </c>
      <c r="B270" s="3058" t="s">
        <v>3624</v>
      </c>
      <c r="C270" s="3059">
        <v>98.35</v>
      </c>
      <c r="D270" s="3060">
        <f t="shared" ca="1" si="16"/>
        <v>98.58</v>
      </c>
      <c r="E270" s="3060">
        <f ca="1">结果表!$G$20</f>
        <v>10023</v>
      </c>
      <c r="F270" s="3071">
        <f t="shared" ca="1" si="14"/>
        <v>98.58</v>
      </c>
      <c r="G270" s="2957">
        <f t="shared" ca="1" si="17"/>
        <v>10023</v>
      </c>
    </row>
    <row r="271" spans="1:7">
      <c r="A271" s="3057">
        <v>10</v>
      </c>
      <c r="B271" s="3058" t="s">
        <v>3625</v>
      </c>
      <c r="C271" s="3059">
        <v>129.68</v>
      </c>
      <c r="D271" s="3060">
        <f t="shared" ca="1" si="16"/>
        <v>129.97999999999999</v>
      </c>
      <c r="E271" s="3060">
        <f ca="1">结果表!$G$20</f>
        <v>10023</v>
      </c>
      <c r="F271" s="3071">
        <f t="shared" ca="1" si="14"/>
        <v>129.97999999999999</v>
      </c>
      <c r="G271" s="2957">
        <f t="shared" ca="1" si="17"/>
        <v>10023</v>
      </c>
    </row>
    <row r="272" spans="1:7">
      <c r="A272" s="3057">
        <v>11</v>
      </c>
      <c r="B272" s="3058" t="s">
        <v>3626</v>
      </c>
      <c r="C272" s="3059">
        <v>129.68</v>
      </c>
      <c r="D272" s="3060">
        <f t="shared" ca="1" si="16"/>
        <v>129.97999999999999</v>
      </c>
      <c r="E272" s="3060">
        <f ca="1">结果表!$G$20</f>
        <v>10023</v>
      </c>
      <c r="F272" s="3071">
        <f t="shared" ca="1" si="14"/>
        <v>129.97999999999999</v>
      </c>
      <c r="G272" s="2957">
        <f t="shared" ca="1" si="17"/>
        <v>10023</v>
      </c>
    </row>
    <row r="273" spans="1:7">
      <c r="A273" s="3057">
        <v>12</v>
      </c>
      <c r="B273" s="3058" t="s">
        <v>3627</v>
      </c>
      <c r="C273" s="3059">
        <v>98.35</v>
      </c>
      <c r="D273" s="3060">
        <f t="shared" ca="1" si="16"/>
        <v>98.58</v>
      </c>
      <c r="E273" s="3060">
        <f ca="1">结果表!$G$20</f>
        <v>10023</v>
      </c>
      <c r="F273" s="3071">
        <f t="shared" ca="1" si="14"/>
        <v>98.58</v>
      </c>
      <c r="G273" s="2957">
        <f t="shared" ca="1" si="17"/>
        <v>10023</v>
      </c>
    </row>
    <row r="274" spans="1:7">
      <c r="A274" s="3057">
        <v>13</v>
      </c>
      <c r="B274" s="3058" t="s">
        <v>3628</v>
      </c>
      <c r="C274" s="3059">
        <v>98.35</v>
      </c>
      <c r="D274" s="3060">
        <f t="shared" ca="1" si="16"/>
        <v>98.58</v>
      </c>
      <c r="E274" s="3060">
        <f ca="1">结果表!$G$20</f>
        <v>10023</v>
      </c>
      <c r="F274" s="3071">
        <f t="shared" ca="1" si="14"/>
        <v>98.58</v>
      </c>
      <c r="G274" s="2957">
        <f t="shared" ca="1" si="17"/>
        <v>10023</v>
      </c>
    </row>
    <row r="275" spans="1:7">
      <c r="A275" s="3057">
        <v>14</v>
      </c>
      <c r="B275" s="3058" t="s">
        <v>3629</v>
      </c>
      <c r="C275" s="3059">
        <v>129.68</v>
      </c>
      <c r="D275" s="3060">
        <f t="shared" ca="1" si="16"/>
        <v>129.97999999999999</v>
      </c>
      <c r="E275" s="3060">
        <f ca="1">结果表!$G$20</f>
        <v>10023</v>
      </c>
      <c r="F275" s="3071">
        <f t="shared" ca="1" si="14"/>
        <v>129.97999999999999</v>
      </c>
      <c r="G275" s="2957">
        <f t="shared" ca="1" si="17"/>
        <v>10023</v>
      </c>
    </row>
    <row r="276" spans="1:7">
      <c r="A276" s="3057">
        <v>15</v>
      </c>
      <c r="B276" s="3058" t="s">
        <v>3630</v>
      </c>
      <c r="C276" s="3059">
        <v>129.68</v>
      </c>
      <c r="D276" s="3060">
        <f t="shared" ca="1" si="16"/>
        <v>129.97999999999999</v>
      </c>
      <c r="E276" s="3060">
        <f ca="1">结果表!$G$20</f>
        <v>10023</v>
      </c>
      <c r="F276" s="3071">
        <f t="shared" ca="1" si="14"/>
        <v>129.97999999999999</v>
      </c>
      <c r="G276" s="2957">
        <f t="shared" ca="1" si="17"/>
        <v>10023</v>
      </c>
    </row>
    <row r="277" spans="1:7">
      <c r="A277" s="3057">
        <v>16</v>
      </c>
      <c r="B277" s="3058" t="s">
        <v>3631</v>
      </c>
      <c r="C277" s="3059">
        <v>98.35</v>
      </c>
      <c r="D277" s="3060">
        <f t="shared" ca="1" si="16"/>
        <v>98.58</v>
      </c>
      <c r="E277" s="3060">
        <f ca="1">结果表!$G$20</f>
        <v>10023</v>
      </c>
      <c r="F277" s="3071">
        <f t="shared" ca="1" si="14"/>
        <v>98.58</v>
      </c>
      <c r="G277" s="2957">
        <f t="shared" ca="1" si="17"/>
        <v>10023</v>
      </c>
    </row>
    <row r="278" spans="1:7">
      <c r="A278" s="3057">
        <v>17</v>
      </c>
      <c r="B278" s="3058" t="s">
        <v>3632</v>
      </c>
      <c r="C278" s="3059">
        <v>98.35</v>
      </c>
      <c r="D278" s="3060">
        <f t="shared" ca="1" si="16"/>
        <v>98.58</v>
      </c>
      <c r="E278" s="3060">
        <f ca="1">结果表!$G$20</f>
        <v>10023</v>
      </c>
      <c r="F278" s="3071">
        <f t="shared" ca="1" si="14"/>
        <v>98.58</v>
      </c>
      <c r="G278" s="2957">
        <f t="shared" ca="1" si="17"/>
        <v>10023</v>
      </c>
    </row>
    <row r="279" spans="1:7">
      <c r="A279" s="3057">
        <v>18</v>
      </c>
      <c r="B279" s="3058" t="s">
        <v>3633</v>
      </c>
      <c r="C279" s="3059">
        <v>129.68</v>
      </c>
      <c r="D279" s="3060">
        <f t="shared" ca="1" si="16"/>
        <v>129.97999999999999</v>
      </c>
      <c r="E279" s="3060">
        <f ca="1">结果表!$G$20</f>
        <v>10023</v>
      </c>
      <c r="F279" s="3071">
        <f t="shared" ca="1" si="14"/>
        <v>129.97999999999999</v>
      </c>
      <c r="G279" s="2957">
        <f t="shared" ca="1" si="17"/>
        <v>10023</v>
      </c>
    </row>
    <row r="280" spans="1:7">
      <c r="A280" s="3057">
        <v>19</v>
      </c>
      <c r="B280" s="3058" t="s">
        <v>3634</v>
      </c>
      <c r="C280" s="3059">
        <v>129.68</v>
      </c>
      <c r="D280" s="3060">
        <f t="shared" ca="1" si="16"/>
        <v>129.97999999999999</v>
      </c>
      <c r="E280" s="3060">
        <f ca="1">结果表!$G$20</f>
        <v>10023</v>
      </c>
      <c r="F280" s="3071">
        <f t="shared" ca="1" si="14"/>
        <v>129.97999999999999</v>
      </c>
      <c r="G280" s="2957">
        <f t="shared" ca="1" si="17"/>
        <v>10023</v>
      </c>
    </row>
    <row r="281" spans="1:7">
      <c r="A281" s="3057">
        <v>20</v>
      </c>
      <c r="B281" s="3058" t="s">
        <v>3635</v>
      </c>
      <c r="C281" s="3059">
        <v>98.35</v>
      </c>
      <c r="D281" s="3060">
        <f t="shared" ca="1" si="16"/>
        <v>98.58</v>
      </c>
      <c r="E281" s="3060">
        <f ca="1">结果表!$G$20</f>
        <v>10023</v>
      </c>
      <c r="F281" s="3071">
        <f t="shared" ca="1" si="14"/>
        <v>98.58</v>
      </c>
      <c r="G281" s="2957">
        <f t="shared" ca="1" si="17"/>
        <v>10023</v>
      </c>
    </row>
    <row r="282" spans="1:7">
      <c r="A282" s="3057">
        <v>21</v>
      </c>
      <c r="B282" s="3058" t="s">
        <v>3636</v>
      </c>
      <c r="C282" s="3059">
        <v>98.35</v>
      </c>
      <c r="D282" s="3060">
        <f t="shared" ca="1" si="16"/>
        <v>98.58</v>
      </c>
      <c r="E282" s="3060">
        <f ca="1">结果表!$G$20</f>
        <v>10023</v>
      </c>
      <c r="F282" s="3071">
        <f t="shared" ca="1" si="14"/>
        <v>98.58</v>
      </c>
      <c r="G282" s="2957">
        <f t="shared" ca="1" si="17"/>
        <v>10023</v>
      </c>
    </row>
    <row r="283" spans="1:7">
      <c r="A283" s="3057">
        <v>22</v>
      </c>
      <c r="B283" s="3058" t="s">
        <v>3637</v>
      </c>
      <c r="C283" s="3059">
        <v>129.68</v>
      </c>
      <c r="D283" s="3060">
        <f t="shared" ca="1" si="16"/>
        <v>129.97999999999999</v>
      </c>
      <c r="E283" s="3060">
        <f ca="1">结果表!$G$20</f>
        <v>10023</v>
      </c>
      <c r="F283" s="3071">
        <f t="shared" ca="1" si="14"/>
        <v>129.97999999999999</v>
      </c>
      <c r="G283" s="2957">
        <f t="shared" ca="1" si="17"/>
        <v>10023</v>
      </c>
    </row>
    <row r="284" spans="1:7">
      <c r="A284" s="3057">
        <v>23</v>
      </c>
      <c r="B284" s="3058" t="s">
        <v>3638</v>
      </c>
      <c r="C284" s="3059">
        <v>129.68</v>
      </c>
      <c r="D284" s="3060">
        <f t="shared" ca="1" si="16"/>
        <v>129.97999999999999</v>
      </c>
      <c r="E284" s="3060">
        <f ca="1">结果表!$G$20</f>
        <v>10023</v>
      </c>
      <c r="F284" s="3071">
        <f t="shared" ca="1" si="14"/>
        <v>129.97999999999999</v>
      </c>
      <c r="G284" s="2957">
        <f t="shared" ca="1" si="17"/>
        <v>10023</v>
      </c>
    </row>
    <row r="285" spans="1:7">
      <c r="A285" s="3057">
        <v>24</v>
      </c>
      <c r="B285" s="3058" t="s">
        <v>3639</v>
      </c>
      <c r="C285" s="3059">
        <v>98.35</v>
      </c>
      <c r="D285" s="3060">
        <f t="shared" ca="1" si="16"/>
        <v>98.58</v>
      </c>
      <c r="E285" s="3060">
        <f ca="1">结果表!$G$20</f>
        <v>10023</v>
      </c>
      <c r="F285" s="3071">
        <f t="shared" ca="1" si="14"/>
        <v>98.58</v>
      </c>
      <c r="G285" s="2957">
        <f t="shared" ca="1" si="17"/>
        <v>10023</v>
      </c>
    </row>
    <row r="286" spans="1:7">
      <c r="A286" s="3057">
        <v>25</v>
      </c>
      <c r="B286" s="3058" t="s">
        <v>3640</v>
      </c>
      <c r="C286" s="3059">
        <v>98.35</v>
      </c>
      <c r="D286" s="3060">
        <f t="shared" ca="1" si="16"/>
        <v>98.58</v>
      </c>
      <c r="E286" s="3060">
        <f ca="1">结果表!$G$20</f>
        <v>10023</v>
      </c>
      <c r="F286" s="3071">
        <f t="shared" ca="1" si="14"/>
        <v>98.58</v>
      </c>
      <c r="G286" s="2957">
        <f t="shared" ca="1" si="17"/>
        <v>10023</v>
      </c>
    </row>
    <row r="287" spans="1:7">
      <c r="A287" s="3057">
        <v>26</v>
      </c>
      <c r="B287" s="3058" t="s">
        <v>3641</v>
      </c>
      <c r="C287" s="3059">
        <v>129.68</v>
      </c>
      <c r="D287" s="3060">
        <f t="shared" ca="1" si="16"/>
        <v>129.97999999999999</v>
      </c>
      <c r="E287" s="3060">
        <f ca="1">结果表!$G$20</f>
        <v>10023</v>
      </c>
      <c r="F287" s="3071">
        <f t="shared" ca="1" si="14"/>
        <v>129.97999999999999</v>
      </c>
      <c r="G287" s="2957">
        <f t="shared" ca="1" si="17"/>
        <v>10023</v>
      </c>
    </row>
    <row r="288" spans="1:7">
      <c r="A288" s="3057">
        <v>27</v>
      </c>
      <c r="B288" s="3058" t="s">
        <v>3642</v>
      </c>
      <c r="C288" s="3059">
        <v>129.68</v>
      </c>
      <c r="D288" s="3060">
        <f t="shared" ca="1" si="16"/>
        <v>129.97999999999999</v>
      </c>
      <c r="E288" s="3060">
        <f ca="1">结果表!$G$20</f>
        <v>10023</v>
      </c>
      <c r="F288" s="3071">
        <f t="shared" ca="1" si="14"/>
        <v>129.97999999999999</v>
      </c>
      <c r="G288" s="2957">
        <f t="shared" ca="1" si="17"/>
        <v>10023</v>
      </c>
    </row>
    <row r="289" spans="1:7">
      <c r="A289" s="3057">
        <v>28</v>
      </c>
      <c r="B289" s="3058" t="s">
        <v>3643</v>
      </c>
      <c r="C289" s="3059">
        <v>98.35</v>
      </c>
      <c r="D289" s="3060">
        <f t="shared" ca="1" si="16"/>
        <v>98.58</v>
      </c>
      <c r="E289" s="3060">
        <f ca="1">结果表!$G$20</f>
        <v>10023</v>
      </c>
      <c r="F289" s="3071">
        <f t="shared" ca="1" si="14"/>
        <v>98.58</v>
      </c>
      <c r="G289" s="2957">
        <f t="shared" ca="1" si="17"/>
        <v>10023</v>
      </c>
    </row>
    <row r="290" spans="1:7">
      <c r="A290" s="3057">
        <v>29</v>
      </c>
      <c r="B290" s="3058" t="s">
        <v>3644</v>
      </c>
      <c r="C290" s="3059">
        <v>98.35</v>
      </c>
      <c r="D290" s="3060">
        <f t="shared" ca="1" si="16"/>
        <v>98.58</v>
      </c>
      <c r="E290" s="3060">
        <f ca="1">结果表!$G$20</f>
        <v>10023</v>
      </c>
      <c r="F290" s="3071">
        <f t="shared" ca="1" si="14"/>
        <v>98.58</v>
      </c>
      <c r="G290" s="2957">
        <f t="shared" ca="1" si="17"/>
        <v>10023</v>
      </c>
    </row>
    <row r="291" spans="1:7">
      <c r="A291" s="3057">
        <v>30</v>
      </c>
      <c r="B291" s="3058" t="s">
        <v>3645</v>
      </c>
      <c r="C291" s="3059">
        <v>129.68</v>
      </c>
      <c r="D291" s="3060">
        <f t="shared" ca="1" si="16"/>
        <v>129.97999999999999</v>
      </c>
      <c r="E291" s="3060">
        <f ca="1">结果表!$G$20</f>
        <v>10023</v>
      </c>
      <c r="F291" s="3071">
        <f t="shared" ca="1" si="14"/>
        <v>129.97999999999999</v>
      </c>
      <c r="G291" s="2957">
        <f t="shared" ca="1" si="17"/>
        <v>10023</v>
      </c>
    </row>
    <row r="292" spans="1:7">
      <c r="A292" s="3057">
        <v>31</v>
      </c>
      <c r="B292" s="3058" t="s">
        <v>3646</v>
      </c>
      <c r="C292" s="3059">
        <v>129.68</v>
      </c>
      <c r="D292" s="3060">
        <f t="shared" ca="1" si="16"/>
        <v>129.97999999999999</v>
      </c>
      <c r="E292" s="3060">
        <f ca="1">结果表!$G$20</f>
        <v>10023</v>
      </c>
      <c r="F292" s="3071">
        <f t="shared" ca="1" si="14"/>
        <v>129.97999999999999</v>
      </c>
      <c r="G292" s="2957">
        <f t="shared" ca="1" si="17"/>
        <v>10023</v>
      </c>
    </row>
    <row r="293" spans="1:7">
      <c r="A293" s="3057">
        <v>32</v>
      </c>
      <c r="B293" s="3058" t="s">
        <v>3647</v>
      </c>
      <c r="C293" s="3059">
        <v>98.35</v>
      </c>
      <c r="D293" s="3060">
        <f t="shared" ca="1" si="16"/>
        <v>98.58</v>
      </c>
      <c r="E293" s="3060">
        <f ca="1">结果表!$G$20</f>
        <v>10023</v>
      </c>
      <c r="F293" s="3071">
        <f t="shared" ca="1" si="14"/>
        <v>98.58</v>
      </c>
      <c r="G293" s="2957">
        <f t="shared" ca="1" si="17"/>
        <v>10023</v>
      </c>
    </row>
    <row r="294" spans="1:7">
      <c r="A294" s="3057">
        <v>33</v>
      </c>
      <c r="B294" s="3058" t="s">
        <v>3648</v>
      </c>
      <c r="C294" s="3059">
        <v>98.35</v>
      </c>
      <c r="D294" s="3060">
        <f t="shared" ca="1" si="16"/>
        <v>98.58</v>
      </c>
      <c r="E294" s="3060">
        <f ca="1">结果表!$G$20</f>
        <v>10023</v>
      </c>
      <c r="F294" s="3071">
        <f t="shared" ca="1" si="14"/>
        <v>98.58</v>
      </c>
      <c r="G294" s="2957">
        <f t="shared" ca="1" si="17"/>
        <v>10023</v>
      </c>
    </row>
    <row r="295" spans="1:7">
      <c r="A295" s="3057">
        <v>34</v>
      </c>
      <c r="B295" s="3058" t="s">
        <v>3649</v>
      </c>
      <c r="C295" s="3059">
        <v>129.68</v>
      </c>
      <c r="D295" s="3060">
        <f t="shared" ca="1" si="16"/>
        <v>129.97999999999999</v>
      </c>
      <c r="E295" s="3060">
        <f ca="1">结果表!$G$20</f>
        <v>10023</v>
      </c>
      <c r="F295" s="3071">
        <f t="shared" ca="1" si="14"/>
        <v>129.97999999999999</v>
      </c>
      <c r="G295" s="2957">
        <f t="shared" ca="1" si="17"/>
        <v>10023</v>
      </c>
    </row>
    <row r="296" spans="1:7">
      <c r="A296" s="3057">
        <v>35</v>
      </c>
      <c r="B296" s="3058" t="s">
        <v>3650</v>
      </c>
      <c r="C296" s="3059">
        <v>129.68</v>
      </c>
      <c r="D296" s="3060">
        <f t="shared" ca="1" si="16"/>
        <v>129.97999999999999</v>
      </c>
      <c r="E296" s="3060">
        <f ca="1">结果表!$G$20</f>
        <v>10023</v>
      </c>
      <c r="F296" s="3071">
        <f t="shared" ca="1" si="14"/>
        <v>129.97999999999999</v>
      </c>
      <c r="G296" s="2957">
        <f t="shared" ca="1" si="17"/>
        <v>10023</v>
      </c>
    </row>
    <row r="297" spans="1:7">
      <c r="A297" s="3057">
        <v>36</v>
      </c>
      <c r="B297" s="3058" t="s">
        <v>3651</v>
      </c>
      <c r="C297" s="3059">
        <v>98.35</v>
      </c>
      <c r="D297" s="3060">
        <f t="shared" ca="1" si="16"/>
        <v>98.58</v>
      </c>
      <c r="E297" s="3060">
        <f ca="1">结果表!$G$20</f>
        <v>10023</v>
      </c>
      <c r="F297" s="3071">
        <f t="shared" ca="1" si="14"/>
        <v>98.58</v>
      </c>
      <c r="G297" s="2957">
        <f t="shared" ca="1" si="17"/>
        <v>10023</v>
      </c>
    </row>
    <row r="298" spans="1:7">
      <c r="A298" s="3057">
        <v>37</v>
      </c>
      <c r="B298" s="3058" t="s">
        <v>3652</v>
      </c>
      <c r="C298" s="3059">
        <v>98.35</v>
      </c>
      <c r="D298" s="3060">
        <f t="shared" ca="1" si="16"/>
        <v>98.58</v>
      </c>
      <c r="E298" s="3060">
        <f ca="1">结果表!$G$20</f>
        <v>10023</v>
      </c>
      <c r="F298" s="3071">
        <f t="shared" ref="F298:F361" ca="1" si="18">D298</f>
        <v>98.58</v>
      </c>
      <c r="G298" s="2957">
        <f t="shared" ca="1" si="17"/>
        <v>10023</v>
      </c>
    </row>
    <row r="299" spans="1:7">
      <c r="A299" s="3057">
        <v>38</v>
      </c>
      <c r="B299" s="3058" t="s">
        <v>3653</v>
      </c>
      <c r="C299" s="3059">
        <v>129.68</v>
      </c>
      <c r="D299" s="3060">
        <f t="shared" ca="1" si="16"/>
        <v>129.97999999999999</v>
      </c>
      <c r="E299" s="3060">
        <f ca="1">结果表!$G$20</f>
        <v>10023</v>
      </c>
      <c r="F299" s="3071">
        <f t="shared" ca="1" si="18"/>
        <v>129.97999999999999</v>
      </c>
      <c r="G299" s="2957">
        <f t="shared" ca="1" si="17"/>
        <v>10023</v>
      </c>
    </row>
    <row r="300" spans="1:7">
      <c r="A300" s="3057">
        <v>39</v>
      </c>
      <c r="B300" s="3058" t="s">
        <v>3654</v>
      </c>
      <c r="C300" s="3059">
        <v>129.68</v>
      </c>
      <c r="D300" s="3060">
        <f t="shared" ca="1" si="16"/>
        <v>129.97999999999999</v>
      </c>
      <c r="E300" s="3060">
        <f ca="1">结果表!$G$20</f>
        <v>10023</v>
      </c>
      <c r="F300" s="3071">
        <f t="shared" ca="1" si="18"/>
        <v>129.97999999999999</v>
      </c>
      <c r="G300" s="2957">
        <f t="shared" ca="1" si="17"/>
        <v>10023</v>
      </c>
    </row>
    <row r="301" spans="1:7">
      <c r="A301" s="3057">
        <v>40</v>
      </c>
      <c r="B301" s="3058" t="s">
        <v>3655</v>
      </c>
      <c r="C301" s="3059">
        <v>98.35</v>
      </c>
      <c r="D301" s="3060">
        <f t="shared" ca="1" si="16"/>
        <v>98.58</v>
      </c>
      <c r="E301" s="3060">
        <f ca="1">结果表!$G$20</f>
        <v>10023</v>
      </c>
      <c r="F301" s="3071">
        <f t="shared" ca="1" si="18"/>
        <v>98.58</v>
      </c>
      <c r="G301" s="2957">
        <f t="shared" ca="1" si="17"/>
        <v>10023</v>
      </c>
    </row>
    <row r="302" spans="1:7">
      <c r="A302" s="3057">
        <v>41</v>
      </c>
      <c r="B302" s="3058" t="s">
        <v>3656</v>
      </c>
      <c r="C302" s="3059">
        <v>98.35</v>
      </c>
      <c r="D302" s="3060">
        <f t="shared" ca="1" si="16"/>
        <v>98.58</v>
      </c>
      <c r="E302" s="3060">
        <f ca="1">结果表!$G$20</f>
        <v>10023</v>
      </c>
      <c r="F302" s="3071">
        <f t="shared" ca="1" si="18"/>
        <v>98.58</v>
      </c>
      <c r="G302" s="2957">
        <f t="shared" ca="1" si="17"/>
        <v>10023</v>
      </c>
    </row>
    <row r="303" spans="1:7">
      <c r="A303" s="3057">
        <v>42</v>
      </c>
      <c r="B303" s="3058" t="s">
        <v>3657</v>
      </c>
      <c r="C303" s="3059">
        <v>129.68</v>
      </c>
      <c r="D303" s="3060">
        <f t="shared" ca="1" si="16"/>
        <v>129.97999999999999</v>
      </c>
      <c r="E303" s="3060">
        <f ca="1">结果表!$G$20</f>
        <v>10023</v>
      </c>
      <c r="F303" s="3071">
        <f t="shared" ca="1" si="18"/>
        <v>129.97999999999999</v>
      </c>
      <c r="G303" s="2957">
        <f t="shared" ca="1" si="17"/>
        <v>10023</v>
      </c>
    </row>
    <row r="304" spans="1:7">
      <c r="A304" s="3057">
        <v>43</v>
      </c>
      <c r="B304" s="3058" t="s">
        <v>3658</v>
      </c>
      <c r="C304" s="3059">
        <v>129.68</v>
      </c>
      <c r="D304" s="3060">
        <f t="shared" ca="1" si="16"/>
        <v>129.97999999999999</v>
      </c>
      <c r="E304" s="3060">
        <f ca="1">结果表!$G$20</f>
        <v>10023</v>
      </c>
      <c r="F304" s="3071">
        <f t="shared" ca="1" si="18"/>
        <v>129.97999999999999</v>
      </c>
      <c r="G304" s="2957">
        <f t="shared" ca="1" si="17"/>
        <v>10023</v>
      </c>
    </row>
    <row r="305" spans="1:7">
      <c r="A305" s="3057">
        <v>44</v>
      </c>
      <c r="B305" s="3058" t="s">
        <v>3659</v>
      </c>
      <c r="C305" s="3059">
        <v>98.35</v>
      </c>
      <c r="D305" s="3060">
        <f t="shared" ca="1" si="16"/>
        <v>98.58</v>
      </c>
      <c r="E305" s="3060">
        <f ca="1">结果表!$G$20</f>
        <v>10023</v>
      </c>
      <c r="F305" s="3071">
        <f t="shared" ca="1" si="18"/>
        <v>98.58</v>
      </c>
      <c r="G305" s="2957">
        <f t="shared" ca="1" si="17"/>
        <v>10023</v>
      </c>
    </row>
    <row r="306" spans="1:7">
      <c r="A306" s="3057">
        <v>45</v>
      </c>
      <c r="B306" s="3058" t="s">
        <v>3660</v>
      </c>
      <c r="C306" s="3059">
        <v>98.35</v>
      </c>
      <c r="D306" s="3060">
        <f t="shared" ca="1" si="16"/>
        <v>98.58</v>
      </c>
      <c r="E306" s="3060">
        <f ca="1">结果表!$G$20</f>
        <v>10023</v>
      </c>
      <c r="F306" s="3071">
        <f t="shared" ca="1" si="18"/>
        <v>98.58</v>
      </c>
      <c r="G306" s="2957">
        <f t="shared" ca="1" si="17"/>
        <v>10023</v>
      </c>
    </row>
    <row r="307" spans="1:7">
      <c r="A307" s="3057">
        <v>46</v>
      </c>
      <c r="B307" s="3058" t="s">
        <v>3661</v>
      </c>
      <c r="C307" s="3059">
        <v>129.68</v>
      </c>
      <c r="D307" s="3060">
        <f t="shared" ca="1" si="16"/>
        <v>129.97999999999999</v>
      </c>
      <c r="E307" s="3060">
        <f ca="1">结果表!$G$20</f>
        <v>10023</v>
      </c>
      <c r="F307" s="3071">
        <f t="shared" ca="1" si="18"/>
        <v>129.97999999999999</v>
      </c>
      <c r="G307" s="2957">
        <f t="shared" ca="1" si="17"/>
        <v>10023</v>
      </c>
    </row>
    <row r="308" spans="1:7">
      <c r="A308" s="3057">
        <v>47</v>
      </c>
      <c r="B308" s="3058" t="s">
        <v>3662</v>
      </c>
      <c r="C308" s="3059">
        <v>129.68</v>
      </c>
      <c r="D308" s="3060">
        <f t="shared" ca="1" si="16"/>
        <v>129.97999999999999</v>
      </c>
      <c r="E308" s="3060">
        <f ca="1">结果表!$G$20</f>
        <v>10023</v>
      </c>
      <c r="F308" s="3071">
        <f t="shared" ca="1" si="18"/>
        <v>129.97999999999999</v>
      </c>
      <c r="G308" s="2957">
        <f t="shared" ca="1" si="17"/>
        <v>10023</v>
      </c>
    </row>
    <row r="309" spans="1:7">
      <c r="A309" s="3057">
        <v>48</v>
      </c>
      <c r="B309" s="3058" t="s">
        <v>3663</v>
      </c>
      <c r="C309" s="3059">
        <v>98.35</v>
      </c>
      <c r="D309" s="3060">
        <f t="shared" ca="1" si="16"/>
        <v>98.58</v>
      </c>
      <c r="E309" s="3060">
        <f ca="1">结果表!$G$20</f>
        <v>10023</v>
      </c>
      <c r="F309" s="3071">
        <f t="shared" ca="1" si="18"/>
        <v>98.58</v>
      </c>
      <c r="G309" s="2957">
        <f t="shared" ca="1" si="17"/>
        <v>10023</v>
      </c>
    </row>
    <row r="310" spans="1:7">
      <c r="A310" s="3057">
        <v>49</v>
      </c>
      <c r="B310" s="3058" t="s">
        <v>3664</v>
      </c>
      <c r="C310" s="3059">
        <v>98.35</v>
      </c>
      <c r="D310" s="3060">
        <f t="shared" ca="1" si="16"/>
        <v>98.58</v>
      </c>
      <c r="E310" s="3060">
        <f ca="1">结果表!$G$20</f>
        <v>10023</v>
      </c>
      <c r="F310" s="3071">
        <f t="shared" ca="1" si="18"/>
        <v>98.58</v>
      </c>
      <c r="G310" s="2957">
        <f t="shared" ca="1" si="17"/>
        <v>10023</v>
      </c>
    </row>
    <row r="311" spans="1:7">
      <c r="A311" s="3057">
        <v>50</v>
      </c>
      <c r="B311" s="3058" t="s">
        <v>3665</v>
      </c>
      <c r="C311" s="3059">
        <v>129.68</v>
      </c>
      <c r="D311" s="3060">
        <f t="shared" ca="1" si="16"/>
        <v>129.97999999999999</v>
      </c>
      <c r="E311" s="3060">
        <f ca="1">结果表!$G$20</f>
        <v>10023</v>
      </c>
      <c r="F311" s="3071">
        <f t="shared" ca="1" si="18"/>
        <v>129.97999999999999</v>
      </c>
      <c r="G311" s="2957">
        <f t="shared" ca="1" si="17"/>
        <v>10023</v>
      </c>
    </row>
    <row r="312" spans="1:7">
      <c r="A312" s="3057">
        <v>51</v>
      </c>
      <c r="B312" s="3058" t="s">
        <v>3666</v>
      </c>
      <c r="C312" s="3059">
        <v>129.68</v>
      </c>
      <c r="D312" s="3060">
        <f t="shared" ca="1" si="16"/>
        <v>129.97999999999999</v>
      </c>
      <c r="E312" s="3060">
        <f ca="1">结果表!$G$20</f>
        <v>10023</v>
      </c>
      <c r="F312" s="3071">
        <f t="shared" ca="1" si="18"/>
        <v>129.97999999999999</v>
      </c>
      <c r="G312" s="2957">
        <f t="shared" ca="1" si="17"/>
        <v>10023</v>
      </c>
    </row>
    <row r="313" spans="1:7">
      <c r="A313" s="3057">
        <v>52</v>
      </c>
      <c r="B313" s="3058" t="s">
        <v>3667</v>
      </c>
      <c r="C313" s="3059">
        <v>98.35</v>
      </c>
      <c r="D313" s="3060">
        <f t="shared" ca="1" si="16"/>
        <v>98.58</v>
      </c>
      <c r="E313" s="3060">
        <f ca="1">结果表!$G$20</f>
        <v>10023</v>
      </c>
      <c r="F313" s="3071">
        <f t="shared" ca="1" si="18"/>
        <v>98.58</v>
      </c>
      <c r="G313" s="2957">
        <f t="shared" ca="1" si="17"/>
        <v>10023</v>
      </c>
    </row>
    <row r="314" spans="1:7">
      <c r="A314" s="3057">
        <v>53</v>
      </c>
      <c r="B314" s="3058" t="s">
        <v>3668</v>
      </c>
      <c r="C314" s="3059">
        <v>98.35</v>
      </c>
      <c r="D314" s="3060">
        <f t="shared" ca="1" si="16"/>
        <v>98.58</v>
      </c>
      <c r="E314" s="3060">
        <f ca="1">结果表!$G$20</f>
        <v>10023</v>
      </c>
      <c r="F314" s="3071">
        <f t="shared" ca="1" si="18"/>
        <v>98.58</v>
      </c>
      <c r="G314" s="2957">
        <f t="shared" ca="1" si="17"/>
        <v>10023</v>
      </c>
    </row>
    <row r="315" spans="1:7">
      <c r="A315" s="3057">
        <v>54</v>
      </c>
      <c r="B315" s="3058" t="s">
        <v>3669</v>
      </c>
      <c r="C315" s="3059">
        <v>129.68</v>
      </c>
      <c r="D315" s="3060">
        <f t="shared" ca="1" si="16"/>
        <v>129.97999999999999</v>
      </c>
      <c r="E315" s="3060">
        <f ca="1">结果表!$G$20</f>
        <v>10023</v>
      </c>
      <c r="F315" s="3071">
        <f t="shared" ca="1" si="18"/>
        <v>129.97999999999999</v>
      </c>
      <c r="G315" s="2957">
        <f t="shared" ca="1" si="17"/>
        <v>10023</v>
      </c>
    </row>
    <row r="316" spans="1:7">
      <c r="A316" s="3057">
        <v>55</v>
      </c>
      <c r="B316" s="3058" t="s">
        <v>3670</v>
      </c>
      <c r="C316" s="3059">
        <v>129.68</v>
      </c>
      <c r="D316" s="3060">
        <f t="shared" ca="1" si="16"/>
        <v>129.97999999999999</v>
      </c>
      <c r="E316" s="3060">
        <f ca="1">结果表!$G$20</f>
        <v>10023</v>
      </c>
      <c r="F316" s="3071">
        <f t="shared" ca="1" si="18"/>
        <v>129.97999999999999</v>
      </c>
      <c r="G316" s="2957">
        <f t="shared" ca="1" si="17"/>
        <v>10023</v>
      </c>
    </row>
    <row r="317" spans="1:7">
      <c r="A317" s="3057">
        <v>56</v>
      </c>
      <c r="B317" s="3058" t="s">
        <v>3671</v>
      </c>
      <c r="C317" s="3059">
        <v>98.35</v>
      </c>
      <c r="D317" s="3060">
        <f t="shared" ca="1" si="16"/>
        <v>98.58</v>
      </c>
      <c r="E317" s="3060">
        <f ca="1">结果表!$G$20</f>
        <v>10023</v>
      </c>
      <c r="F317" s="3071">
        <f t="shared" ca="1" si="18"/>
        <v>98.58</v>
      </c>
      <c r="G317" s="2957">
        <f t="shared" ca="1" si="17"/>
        <v>10023</v>
      </c>
    </row>
    <row r="318" spans="1:7">
      <c r="A318" s="3057">
        <v>57</v>
      </c>
      <c r="B318" s="3058" t="s">
        <v>3672</v>
      </c>
      <c r="C318" s="3059">
        <v>98.35</v>
      </c>
      <c r="D318" s="3060">
        <f t="shared" ca="1" si="16"/>
        <v>98.58</v>
      </c>
      <c r="E318" s="3060">
        <f ca="1">结果表!$G$20</f>
        <v>10023</v>
      </c>
      <c r="F318" s="3071">
        <f t="shared" ca="1" si="18"/>
        <v>98.58</v>
      </c>
      <c r="G318" s="2957">
        <f t="shared" ca="1" si="17"/>
        <v>10023</v>
      </c>
    </row>
    <row r="319" spans="1:7">
      <c r="A319" s="3057">
        <v>58</v>
      </c>
      <c r="B319" s="3058" t="s">
        <v>3673</v>
      </c>
      <c r="C319" s="3059">
        <v>129.68</v>
      </c>
      <c r="D319" s="3060">
        <f t="shared" ca="1" si="16"/>
        <v>129.97999999999999</v>
      </c>
      <c r="E319" s="3060">
        <f ca="1">结果表!$G$20</f>
        <v>10023</v>
      </c>
      <c r="F319" s="3071">
        <f t="shared" ca="1" si="18"/>
        <v>129.97999999999999</v>
      </c>
      <c r="G319" s="2957">
        <f t="shared" ca="1" si="17"/>
        <v>10023</v>
      </c>
    </row>
    <row r="320" spans="1:7">
      <c r="A320" s="3057">
        <v>59</v>
      </c>
      <c r="B320" s="3058" t="s">
        <v>3674</v>
      </c>
      <c r="C320" s="3059">
        <v>129.68</v>
      </c>
      <c r="D320" s="3060">
        <f t="shared" ca="1" si="16"/>
        <v>129.97999999999999</v>
      </c>
      <c r="E320" s="3060">
        <f ca="1">结果表!$G$20</f>
        <v>10023</v>
      </c>
      <c r="F320" s="3071">
        <f t="shared" ca="1" si="18"/>
        <v>129.97999999999999</v>
      </c>
      <c r="G320" s="2957">
        <f t="shared" ca="1" si="17"/>
        <v>10023</v>
      </c>
    </row>
    <row r="321" spans="1:7">
      <c r="A321" s="3057">
        <v>60</v>
      </c>
      <c r="B321" s="3058" t="s">
        <v>3675</v>
      </c>
      <c r="C321" s="3059">
        <v>98.35</v>
      </c>
      <c r="D321" s="3060">
        <f t="shared" ca="1" si="16"/>
        <v>98.58</v>
      </c>
      <c r="E321" s="3060">
        <f ca="1">结果表!$G$20</f>
        <v>10023</v>
      </c>
      <c r="F321" s="3071">
        <f t="shared" ca="1" si="18"/>
        <v>98.58</v>
      </c>
      <c r="G321" s="2957">
        <f t="shared" ca="1" si="17"/>
        <v>10023</v>
      </c>
    </row>
    <row r="322" spans="1:7">
      <c r="A322" s="3057">
        <v>61</v>
      </c>
      <c r="B322" s="3058" t="s">
        <v>3676</v>
      </c>
      <c r="C322" s="3059">
        <v>98.35</v>
      </c>
      <c r="D322" s="3060">
        <f t="shared" ca="1" si="16"/>
        <v>98.58</v>
      </c>
      <c r="E322" s="3060">
        <f ca="1">结果表!$G$20</f>
        <v>10023</v>
      </c>
      <c r="F322" s="3071">
        <f t="shared" ca="1" si="18"/>
        <v>98.58</v>
      </c>
      <c r="G322" s="2957">
        <f t="shared" ca="1" si="17"/>
        <v>10023</v>
      </c>
    </row>
    <row r="323" spans="1:7">
      <c r="A323" s="3057">
        <v>62</v>
      </c>
      <c r="B323" s="3058" t="s">
        <v>3677</v>
      </c>
      <c r="C323" s="3059">
        <v>129.68</v>
      </c>
      <c r="D323" s="3060">
        <f t="shared" ca="1" si="16"/>
        <v>129.97999999999999</v>
      </c>
      <c r="E323" s="3060">
        <f ca="1">结果表!$G$20</f>
        <v>10023</v>
      </c>
      <c r="F323" s="3071">
        <f t="shared" ca="1" si="18"/>
        <v>129.97999999999999</v>
      </c>
      <c r="G323" s="2957">
        <f t="shared" ca="1" si="17"/>
        <v>10023</v>
      </c>
    </row>
    <row r="324" spans="1:7">
      <c r="A324" s="3057">
        <v>63</v>
      </c>
      <c r="B324" s="3058" t="s">
        <v>3678</v>
      </c>
      <c r="C324" s="3059">
        <v>129.68</v>
      </c>
      <c r="D324" s="3060">
        <f t="shared" ca="1" si="16"/>
        <v>129.97999999999999</v>
      </c>
      <c r="E324" s="3060">
        <f ca="1">结果表!$G$20</f>
        <v>10023</v>
      </c>
      <c r="F324" s="3071">
        <f t="shared" ca="1" si="18"/>
        <v>129.97999999999999</v>
      </c>
      <c r="G324" s="2957">
        <f t="shared" ca="1" si="17"/>
        <v>10023</v>
      </c>
    </row>
    <row r="325" spans="1:7">
      <c r="A325" s="3057">
        <v>64</v>
      </c>
      <c r="B325" s="3058" t="s">
        <v>3679</v>
      </c>
      <c r="C325" s="3059">
        <v>98.35</v>
      </c>
      <c r="D325" s="3060">
        <f t="shared" ca="1" si="16"/>
        <v>98.58</v>
      </c>
      <c r="E325" s="3060">
        <f ca="1">结果表!$G$20</f>
        <v>10023</v>
      </c>
      <c r="F325" s="3071">
        <f t="shared" ca="1" si="18"/>
        <v>98.58</v>
      </c>
      <c r="G325" s="2957">
        <f t="shared" ca="1" si="17"/>
        <v>10023</v>
      </c>
    </row>
    <row r="326" spans="1:7">
      <c r="A326" s="3057">
        <v>65</v>
      </c>
      <c r="B326" s="3058" t="s">
        <v>3680</v>
      </c>
      <c r="C326" s="3059">
        <v>98.35</v>
      </c>
      <c r="D326" s="3060">
        <f t="shared" ca="1" si="16"/>
        <v>98.58</v>
      </c>
      <c r="E326" s="3060">
        <f ca="1">结果表!$G$20</f>
        <v>10023</v>
      </c>
      <c r="F326" s="3071">
        <f t="shared" ca="1" si="18"/>
        <v>98.58</v>
      </c>
      <c r="G326" s="2957">
        <f t="shared" ca="1" si="17"/>
        <v>10023</v>
      </c>
    </row>
    <row r="327" spans="1:7">
      <c r="A327" s="3057">
        <v>66</v>
      </c>
      <c r="B327" s="3058" t="s">
        <v>3681</v>
      </c>
      <c r="C327" s="3059">
        <v>129.68</v>
      </c>
      <c r="D327" s="3060">
        <f t="shared" ref="D327:D367" ca="1" si="19">ROUND(E327*C327/10000,2)</f>
        <v>129.97999999999999</v>
      </c>
      <c r="E327" s="3060">
        <f ca="1">结果表!$G$20</f>
        <v>10023</v>
      </c>
      <c r="F327" s="3071">
        <f t="shared" ca="1" si="18"/>
        <v>129.97999999999999</v>
      </c>
      <c r="G327" s="2957">
        <f t="shared" ref="G327:G367" ca="1" si="20">E327</f>
        <v>10023</v>
      </c>
    </row>
    <row r="328" spans="1:7">
      <c r="A328" s="3057">
        <v>67</v>
      </c>
      <c r="B328" s="3058" t="s">
        <v>3682</v>
      </c>
      <c r="C328" s="3059">
        <v>98.35</v>
      </c>
      <c r="D328" s="3060">
        <f t="shared" ca="1" si="19"/>
        <v>98.58</v>
      </c>
      <c r="E328" s="3060">
        <f ca="1">结果表!$G$20</f>
        <v>10023</v>
      </c>
      <c r="F328" s="3071">
        <f t="shared" ca="1" si="18"/>
        <v>98.58</v>
      </c>
      <c r="G328" s="2957">
        <f t="shared" ca="1" si="20"/>
        <v>10023</v>
      </c>
    </row>
    <row r="329" spans="1:7">
      <c r="A329" s="3057">
        <v>68</v>
      </c>
      <c r="B329" s="3058" t="s">
        <v>3683</v>
      </c>
      <c r="C329" s="3059">
        <v>129.68</v>
      </c>
      <c r="D329" s="3060">
        <f t="shared" ca="1" si="19"/>
        <v>129.97999999999999</v>
      </c>
      <c r="E329" s="3060">
        <f ca="1">结果表!$G$20</f>
        <v>10023</v>
      </c>
      <c r="F329" s="3071">
        <f t="shared" ca="1" si="18"/>
        <v>129.97999999999999</v>
      </c>
      <c r="G329" s="2957">
        <f t="shared" ca="1" si="20"/>
        <v>10023</v>
      </c>
    </row>
    <row r="330" spans="1:7">
      <c r="A330" s="3057">
        <v>69</v>
      </c>
      <c r="B330" s="3058" t="s">
        <v>3684</v>
      </c>
      <c r="C330" s="3059">
        <v>129.68</v>
      </c>
      <c r="D330" s="3060">
        <f t="shared" ca="1" si="19"/>
        <v>129.97999999999999</v>
      </c>
      <c r="E330" s="3060">
        <f ca="1">结果表!$G$20</f>
        <v>10023</v>
      </c>
      <c r="F330" s="3071">
        <f t="shared" ca="1" si="18"/>
        <v>129.97999999999999</v>
      </c>
      <c r="G330" s="2957">
        <f t="shared" ca="1" si="20"/>
        <v>10023</v>
      </c>
    </row>
    <row r="331" spans="1:7">
      <c r="A331" s="3057">
        <v>70</v>
      </c>
      <c r="B331" s="3058" t="s">
        <v>3685</v>
      </c>
      <c r="C331" s="3059">
        <v>98.35</v>
      </c>
      <c r="D331" s="3060">
        <f t="shared" ca="1" si="19"/>
        <v>98.58</v>
      </c>
      <c r="E331" s="3060">
        <f ca="1">结果表!$G$20</f>
        <v>10023</v>
      </c>
      <c r="F331" s="3071">
        <f t="shared" ca="1" si="18"/>
        <v>98.58</v>
      </c>
      <c r="G331" s="2957">
        <f t="shared" ca="1" si="20"/>
        <v>10023</v>
      </c>
    </row>
    <row r="332" spans="1:7">
      <c r="A332" s="3057">
        <v>71</v>
      </c>
      <c r="B332" s="3058" t="s">
        <v>3686</v>
      </c>
      <c r="C332" s="3059">
        <v>129.68</v>
      </c>
      <c r="D332" s="3060">
        <f t="shared" ca="1" si="19"/>
        <v>129.97999999999999</v>
      </c>
      <c r="E332" s="3060">
        <f ca="1">结果表!$G$20</f>
        <v>10023</v>
      </c>
      <c r="F332" s="3071">
        <f t="shared" ca="1" si="18"/>
        <v>129.97999999999999</v>
      </c>
      <c r="G332" s="2957">
        <f t="shared" ca="1" si="20"/>
        <v>10023</v>
      </c>
    </row>
    <row r="333" spans="1:7">
      <c r="A333" s="3057">
        <v>72</v>
      </c>
      <c r="B333" s="3058" t="s">
        <v>3687</v>
      </c>
      <c r="C333" s="3059">
        <v>98.35</v>
      </c>
      <c r="D333" s="3060">
        <f t="shared" ca="1" si="19"/>
        <v>98.58</v>
      </c>
      <c r="E333" s="3060">
        <f ca="1">结果表!$G$20</f>
        <v>10023</v>
      </c>
      <c r="F333" s="3071">
        <f t="shared" ca="1" si="18"/>
        <v>98.58</v>
      </c>
      <c r="G333" s="2957">
        <f t="shared" ca="1" si="20"/>
        <v>10023</v>
      </c>
    </row>
    <row r="334" spans="1:7">
      <c r="A334" s="3057">
        <v>73</v>
      </c>
      <c r="B334" s="3058" t="s">
        <v>3688</v>
      </c>
      <c r="C334" s="3059">
        <v>98.35</v>
      </c>
      <c r="D334" s="3060">
        <f t="shared" ca="1" si="19"/>
        <v>98.58</v>
      </c>
      <c r="E334" s="3060">
        <f ca="1">结果表!$G$20</f>
        <v>10023</v>
      </c>
      <c r="F334" s="3071">
        <f t="shared" ca="1" si="18"/>
        <v>98.58</v>
      </c>
      <c r="G334" s="2957">
        <f t="shared" ca="1" si="20"/>
        <v>10023</v>
      </c>
    </row>
    <row r="335" spans="1:7">
      <c r="A335" s="3057">
        <v>74</v>
      </c>
      <c r="B335" s="3058" t="s">
        <v>3689</v>
      </c>
      <c r="C335" s="3059">
        <v>129.68</v>
      </c>
      <c r="D335" s="3060">
        <f t="shared" ca="1" si="19"/>
        <v>129.97999999999999</v>
      </c>
      <c r="E335" s="3060">
        <f ca="1">结果表!$G$20</f>
        <v>10023</v>
      </c>
      <c r="F335" s="3071">
        <f t="shared" ca="1" si="18"/>
        <v>129.97999999999999</v>
      </c>
      <c r="G335" s="2957">
        <f t="shared" ca="1" si="20"/>
        <v>10023</v>
      </c>
    </row>
    <row r="336" spans="1:7">
      <c r="A336" s="3057">
        <v>75</v>
      </c>
      <c r="B336" s="3058" t="s">
        <v>3690</v>
      </c>
      <c r="C336" s="3059">
        <v>129.68</v>
      </c>
      <c r="D336" s="3060">
        <f t="shared" ca="1" si="19"/>
        <v>129.97999999999999</v>
      </c>
      <c r="E336" s="3060">
        <f ca="1">结果表!$G$20</f>
        <v>10023</v>
      </c>
      <c r="F336" s="3071">
        <f t="shared" ca="1" si="18"/>
        <v>129.97999999999999</v>
      </c>
      <c r="G336" s="2957">
        <f t="shared" ca="1" si="20"/>
        <v>10023</v>
      </c>
    </row>
    <row r="337" spans="1:7">
      <c r="A337" s="3057">
        <v>76</v>
      </c>
      <c r="B337" s="3058" t="s">
        <v>3691</v>
      </c>
      <c r="C337" s="3059">
        <v>98.35</v>
      </c>
      <c r="D337" s="3060">
        <f t="shared" ca="1" si="19"/>
        <v>98.58</v>
      </c>
      <c r="E337" s="3060">
        <f ca="1">结果表!$G$20</f>
        <v>10023</v>
      </c>
      <c r="F337" s="3071">
        <f t="shared" ca="1" si="18"/>
        <v>98.58</v>
      </c>
      <c r="G337" s="2957">
        <f t="shared" ca="1" si="20"/>
        <v>10023</v>
      </c>
    </row>
    <row r="338" spans="1:7">
      <c r="A338" s="3057">
        <v>77</v>
      </c>
      <c r="B338" s="3058" t="s">
        <v>3692</v>
      </c>
      <c r="C338" s="3059">
        <v>98.35</v>
      </c>
      <c r="D338" s="3060">
        <f t="shared" ca="1" si="19"/>
        <v>98.58</v>
      </c>
      <c r="E338" s="3060">
        <f ca="1">结果表!$G$20</f>
        <v>10023</v>
      </c>
      <c r="F338" s="3071">
        <f t="shared" ca="1" si="18"/>
        <v>98.58</v>
      </c>
      <c r="G338" s="2957">
        <f t="shared" ca="1" si="20"/>
        <v>10023</v>
      </c>
    </row>
    <row r="339" spans="1:7">
      <c r="A339" s="3057">
        <v>78</v>
      </c>
      <c r="B339" s="3058" t="s">
        <v>3693</v>
      </c>
      <c r="C339" s="3059">
        <v>129.68</v>
      </c>
      <c r="D339" s="3060">
        <f t="shared" ca="1" si="19"/>
        <v>129.97999999999999</v>
      </c>
      <c r="E339" s="3060">
        <f ca="1">结果表!$G$20</f>
        <v>10023</v>
      </c>
      <c r="F339" s="3071">
        <f t="shared" ca="1" si="18"/>
        <v>129.97999999999999</v>
      </c>
      <c r="G339" s="2957">
        <f t="shared" ca="1" si="20"/>
        <v>10023</v>
      </c>
    </row>
    <row r="340" spans="1:7">
      <c r="A340" s="3057">
        <v>79</v>
      </c>
      <c r="B340" s="3058" t="s">
        <v>3694</v>
      </c>
      <c r="C340" s="3059">
        <v>129.68</v>
      </c>
      <c r="D340" s="3060">
        <f t="shared" ca="1" si="19"/>
        <v>129.97999999999999</v>
      </c>
      <c r="E340" s="3060">
        <f ca="1">结果表!$G$20</f>
        <v>10023</v>
      </c>
      <c r="F340" s="3071">
        <f t="shared" ca="1" si="18"/>
        <v>129.97999999999999</v>
      </c>
      <c r="G340" s="2957">
        <f t="shared" ca="1" si="20"/>
        <v>10023</v>
      </c>
    </row>
    <row r="341" spans="1:7">
      <c r="A341" s="3057">
        <v>80</v>
      </c>
      <c r="B341" s="3058" t="s">
        <v>3695</v>
      </c>
      <c r="C341" s="3059">
        <v>98.35</v>
      </c>
      <c r="D341" s="3060">
        <f t="shared" ca="1" si="19"/>
        <v>98.58</v>
      </c>
      <c r="E341" s="3060">
        <f ca="1">结果表!$G$20</f>
        <v>10023</v>
      </c>
      <c r="F341" s="3071">
        <f t="shared" ca="1" si="18"/>
        <v>98.58</v>
      </c>
      <c r="G341" s="2957">
        <f t="shared" ca="1" si="20"/>
        <v>10023</v>
      </c>
    </row>
    <row r="342" spans="1:7">
      <c r="A342" s="3057">
        <v>81</v>
      </c>
      <c r="B342" s="3058" t="s">
        <v>3696</v>
      </c>
      <c r="C342" s="3059">
        <v>98.35</v>
      </c>
      <c r="D342" s="3060">
        <f t="shared" ca="1" si="19"/>
        <v>98.58</v>
      </c>
      <c r="E342" s="3060">
        <f ca="1">结果表!$G$20</f>
        <v>10023</v>
      </c>
      <c r="F342" s="3071">
        <f t="shared" ca="1" si="18"/>
        <v>98.58</v>
      </c>
      <c r="G342" s="2957">
        <f t="shared" ca="1" si="20"/>
        <v>10023</v>
      </c>
    </row>
    <row r="343" spans="1:7">
      <c r="A343" s="3057">
        <v>82</v>
      </c>
      <c r="B343" s="3058" t="s">
        <v>3697</v>
      </c>
      <c r="C343" s="3059">
        <v>129.68</v>
      </c>
      <c r="D343" s="3060">
        <f t="shared" ca="1" si="19"/>
        <v>129.97999999999999</v>
      </c>
      <c r="E343" s="3060">
        <f ca="1">结果表!$G$20</f>
        <v>10023</v>
      </c>
      <c r="F343" s="3071">
        <f t="shared" ca="1" si="18"/>
        <v>129.97999999999999</v>
      </c>
      <c r="G343" s="2957">
        <f t="shared" ca="1" si="20"/>
        <v>10023</v>
      </c>
    </row>
    <row r="344" spans="1:7">
      <c r="A344" s="3057">
        <v>83</v>
      </c>
      <c r="B344" s="3058" t="s">
        <v>3698</v>
      </c>
      <c r="C344" s="3059">
        <v>129.68</v>
      </c>
      <c r="D344" s="3060">
        <f t="shared" ca="1" si="19"/>
        <v>129.97999999999999</v>
      </c>
      <c r="E344" s="3060">
        <f ca="1">结果表!$G$20</f>
        <v>10023</v>
      </c>
      <c r="F344" s="3071">
        <f t="shared" ca="1" si="18"/>
        <v>129.97999999999999</v>
      </c>
      <c r="G344" s="2957">
        <f t="shared" ca="1" si="20"/>
        <v>10023</v>
      </c>
    </row>
    <row r="345" spans="1:7">
      <c r="A345" s="3057">
        <v>84</v>
      </c>
      <c r="B345" s="3058" t="s">
        <v>3699</v>
      </c>
      <c r="C345" s="3059">
        <v>98.35</v>
      </c>
      <c r="D345" s="3060">
        <f t="shared" ca="1" si="19"/>
        <v>98.58</v>
      </c>
      <c r="E345" s="3060">
        <f ca="1">结果表!$G$20</f>
        <v>10023</v>
      </c>
      <c r="F345" s="3071">
        <f t="shared" ca="1" si="18"/>
        <v>98.58</v>
      </c>
      <c r="G345" s="2957">
        <f t="shared" ca="1" si="20"/>
        <v>10023</v>
      </c>
    </row>
    <row r="346" spans="1:7">
      <c r="A346" s="3057">
        <v>85</v>
      </c>
      <c r="B346" s="3058" t="s">
        <v>3700</v>
      </c>
      <c r="C346" s="3059">
        <v>98.35</v>
      </c>
      <c r="D346" s="3060">
        <f t="shared" ca="1" si="19"/>
        <v>98.58</v>
      </c>
      <c r="E346" s="3060">
        <f ca="1">结果表!$G$20</f>
        <v>10023</v>
      </c>
      <c r="F346" s="3071">
        <f t="shared" ca="1" si="18"/>
        <v>98.58</v>
      </c>
      <c r="G346" s="2957">
        <f t="shared" ca="1" si="20"/>
        <v>10023</v>
      </c>
    </row>
    <row r="347" spans="1:7">
      <c r="A347" s="3057">
        <v>86</v>
      </c>
      <c r="B347" s="3058" t="s">
        <v>3701</v>
      </c>
      <c r="C347" s="3059">
        <v>129.68</v>
      </c>
      <c r="D347" s="3060">
        <f t="shared" ca="1" si="19"/>
        <v>129.97999999999999</v>
      </c>
      <c r="E347" s="3060">
        <f ca="1">结果表!$G$20</f>
        <v>10023</v>
      </c>
      <c r="F347" s="3071">
        <f t="shared" ca="1" si="18"/>
        <v>129.97999999999999</v>
      </c>
      <c r="G347" s="2957">
        <f t="shared" ca="1" si="20"/>
        <v>10023</v>
      </c>
    </row>
    <row r="348" spans="1:7">
      <c r="A348" s="3057">
        <v>87</v>
      </c>
      <c r="B348" s="3058" t="s">
        <v>3702</v>
      </c>
      <c r="C348" s="3059">
        <v>129.68</v>
      </c>
      <c r="D348" s="3060">
        <f t="shared" ca="1" si="19"/>
        <v>129.97999999999999</v>
      </c>
      <c r="E348" s="3060">
        <f ca="1">结果表!$G$20</f>
        <v>10023</v>
      </c>
      <c r="F348" s="3071">
        <f t="shared" ca="1" si="18"/>
        <v>129.97999999999999</v>
      </c>
      <c r="G348" s="2957">
        <f t="shared" ca="1" si="20"/>
        <v>10023</v>
      </c>
    </row>
    <row r="349" spans="1:7">
      <c r="A349" s="3057">
        <v>88</v>
      </c>
      <c r="B349" s="3058" t="s">
        <v>3703</v>
      </c>
      <c r="C349" s="3059">
        <v>98.35</v>
      </c>
      <c r="D349" s="3060">
        <f t="shared" ca="1" si="19"/>
        <v>98.58</v>
      </c>
      <c r="E349" s="3060">
        <f ca="1">结果表!$G$20</f>
        <v>10023</v>
      </c>
      <c r="F349" s="3071">
        <f t="shared" ca="1" si="18"/>
        <v>98.58</v>
      </c>
      <c r="G349" s="2957">
        <f t="shared" ca="1" si="20"/>
        <v>10023</v>
      </c>
    </row>
    <row r="350" spans="1:7">
      <c r="A350" s="3057">
        <v>89</v>
      </c>
      <c r="B350" s="3058" t="s">
        <v>3704</v>
      </c>
      <c r="C350" s="3059">
        <v>98.35</v>
      </c>
      <c r="D350" s="3060">
        <f t="shared" ca="1" si="19"/>
        <v>98.58</v>
      </c>
      <c r="E350" s="3060">
        <f ca="1">结果表!$G$20</f>
        <v>10023</v>
      </c>
      <c r="F350" s="3071">
        <f t="shared" ca="1" si="18"/>
        <v>98.58</v>
      </c>
      <c r="G350" s="2957">
        <f t="shared" ca="1" si="20"/>
        <v>10023</v>
      </c>
    </row>
    <row r="351" spans="1:7">
      <c r="A351" s="3057">
        <v>90</v>
      </c>
      <c r="B351" s="3058" t="s">
        <v>3705</v>
      </c>
      <c r="C351" s="3059">
        <v>129.68</v>
      </c>
      <c r="D351" s="3060">
        <f t="shared" ca="1" si="19"/>
        <v>129.97999999999999</v>
      </c>
      <c r="E351" s="3060">
        <f ca="1">结果表!$G$20</f>
        <v>10023</v>
      </c>
      <c r="F351" s="3071">
        <f t="shared" ca="1" si="18"/>
        <v>129.97999999999999</v>
      </c>
      <c r="G351" s="2957">
        <f t="shared" ca="1" si="20"/>
        <v>10023</v>
      </c>
    </row>
    <row r="352" spans="1:7">
      <c r="A352" s="3057">
        <v>91</v>
      </c>
      <c r="B352" s="3058" t="s">
        <v>3706</v>
      </c>
      <c r="C352" s="3059">
        <v>129.68</v>
      </c>
      <c r="D352" s="3060">
        <f t="shared" ca="1" si="19"/>
        <v>129.97999999999999</v>
      </c>
      <c r="E352" s="3060">
        <f ca="1">结果表!$G$20</f>
        <v>10023</v>
      </c>
      <c r="F352" s="3071">
        <f t="shared" ca="1" si="18"/>
        <v>129.97999999999999</v>
      </c>
      <c r="G352" s="2957">
        <f t="shared" ca="1" si="20"/>
        <v>10023</v>
      </c>
    </row>
    <row r="353" spans="1:7">
      <c r="A353" s="3057">
        <v>92</v>
      </c>
      <c r="B353" s="3058" t="s">
        <v>3707</v>
      </c>
      <c r="C353" s="3059">
        <v>98.35</v>
      </c>
      <c r="D353" s="3060">
        <f t="shared" ca="1" si="19"/>
        <v>98.58</v>
      </c>
      <c r="E353" s="3060">
        <f ca="1">结果表!$G$20</f>
        <v>10023</v>
      </c>
      <c r="F353" s="3071">
        <f t="shared" ca="1" si="18"/>
        <v>98.58</v>
      </c>
      <c r="G353" s="2957">
        <f t="shared" ca="1" si="20"/>
        <v>10023</v>
      </c>
    </row>
    <row r="354" spans="1:7">
      <c r="A354" s="3057">
        <v>93</v>
      </c>
      <c r="B354" s="3058" t="s">
        <v>3708</v>
      </c>
      <c r="C354" s="3059">
        <v>98.35</v>
      </c>
      <c r="D354" s="3060">
        <f t="shared" ca="1" si="19"/>
        <v>98.58</v>
      </c>
      <c r="E354" s="3060">
        <f ca="1">结果表!$G$20</f>
        <v>10023</v>
      </c>
      <c r="F354" s="3071">
        <f t="shared" ca="1" si="18"/>
        <v>98.58</v>
      </c>
      <c r="G354" s="2957">
        <f t="shared" ca="1" si="20"/>
        <v>10023</v>
      </c>
    </row>
    <row r="355" spans="1:7">
      <c r="A355" s="3057">
        <v>94</v>
      </c>
      <c r="B355" s="3058" t="s">
        <v>3709</v>
      </c>
      <c r="C355" s="3059">
        <v>129.68</v>
      </c>
      <c r="D355" s="3060">
        <f t="shared" ca="1" si="19"/>
        <v>129.97999999999999</v>
      </c>
      <c r="E355" s="3060">
        <f ca="1">结果表!$G$20</f>
        <v>10023</v>
      </c>
      <c r="F355" s="3071">
        <f t="shared" ca="1" si="18"/>
        <v>129.97999999999999</v>
      </c>
      <c r="G355" s="2957">
        <f t="shared" ca="1" si="20"/>
        <v>10023</v>
      </c>
    </row>
    <row r="356" spans="1:7">
      <c r="A356" s="3057">
        <v>95</v>
      </c>
      <c r="B356" s="3058" t="s">
        <v>3710</v>
      </c>
      <c r="C356" s="3059">
        <v>129.68</v>
      </c>
      <c r="D356" s="3060">
        <f t="shared" ca="1" si="19"/>
        <v>129.97999999999999</v>
      </c>
      <c r="E356" s="3060">
        <f ca="1">结果表!$G$20</f>
        <v>10023</v>
      </c>
      <c r="F356" s="3071">
        <f t="shared" ca="1" si="18"/>
        <v>129.97999999999999</v>
      </c>
      <c r="G356" s="2957">
        <f t="shared" ca="1" si="20"/>
        <v>10023</v>
      </c>
    </row>
    <row r="357" spans="1:7">
      <c r="A357" s="3057">
        <v>96</v>
      </c>
      <c r="B357" s="3058" t="s">
        <v>3711</v>
      </c>
      <c r="C357" s="3059">
        <v>98.35</v>
      </c>
      <c r="D357" s="3060">
        <f t="shared" ca="1" si="19"/>
        <v>98.58</v>
      </c>
      <c r="E357" s="3060">
        <f ca="1">结果表!$G$20</f>
        <v>10023</v>
      </c>
      <c r="F357" s="3071">
        <f t="shared" ca="1" si="18"/>
        <v>98.58</v>
      </c>
      <c r="G357" s="2957">
        <f t="shared" ca="1" si="20"/>
        <v>10023</v>
      </c>
    </row>
    <row r="358" spans="1:7">
      <c r="A358" s="3057">
        <v>97</v>
      </c>
      <c r="B358" s="3058" t="s">
        <v>3712</v>
      </c>
      <c r="C358" s="3059">
        <v>98.35</v>
      </c>
      <c r="D358" s="3060">
        <f t="shared" ca="1" si="19"/>
        <v>98.58</v>
      </c>
      <c r="E358" s="3060">
        <f ca="1">结果表!$G$20</f>
        <v>10023</v>
      </c>
      <c r="F358" s="3071">
        <f t="shared" ca="1" si="18"/>
        <v>98.58</v>
      </c>
      <c r="G358" s="2957">
        <f t="shared" ca="1" si="20"/>
        <v>10023</v>
      </c>
    </row>
    <row r="359" spans="1:7">
      <c r="A359" s="3057">
        <v>98</v>
      </c>
      <c r="B359" s="3058" t="s">
        <v>3713</v>
      </c>
      <c r="C359" s="3059">
        <v>129.68</v>
      </c>
      <c r="D359" s="3060">
        <f t="shared" ca="1" si="19"/>
        <v>129.97999999999999</v>
      </c>
      <c r="E359" s="3060">
        <f ca="1">结果表!$G$20</f>
        <v>10023</v>
      </c>
      <c r="F359" s="3071">
        <f t="shared" ca="1" si="18"/>
        <v>129.97999999999999</v>
      </c>
      <c r="G359" s="2957">
        <f t="shared" ca="1" si="20"/>
        <v>10023</v>
      </c>
    </row>
    <row r="360" spans="1:7">
      <c r="A360" s="3057">
        <v>99</v>
      </c>
      <c r="B360" s="3058" t="s">
        <v>3714</v>
      </c>
      <c r="C360" s="3059">
        <v>129.68</v>
      </c>
      <c r="D360" s="3060">
        <f t="shared" ca="1" si="19"/>
        <v>129.97999999999999</v>
      </c>
      <c r="E360" s="3060">
        <f ca="1">结果表!$G$20</f>
        <v>10023</v>
      </c>
      <c r="F360" s="3071">
        <f t="shared" ca="1" si="18"/>
        <v>129.97999999999999</v>
      </c>
      <c r="G360" s="2957">
        <f t="shared" ca="1" si="20"/>
        <v>10023</v>
      </c>
    </row>
    <row r="361" spans="1:7">
      <c r="A361" s="3057">
        <v>100</v>
      </c>
      <c r="B361" s="3058" t="s">
        <v>3715</v>
      </c>
      <c r="C361" s="3059">
        <v>98.35</v>
      </c>
      <c r="D361" s="3060">
        <f t="shared" ca="1" si="19"/>
        <v>98.58</v>
      </c>
      <c r="E361" s="3060">
        <f ca="1">结果表!$G$20</f>
        <v>10023</v>
      </c>
      <c r="F361" s="3071">
        <f t="shared" ca="1" si="18"/>
        <v>98.58</v>
      </c>
      <c r="G361" s="2957">
        <f t="shared" ca="1" si="20"/>
        <v>10023</v>
      </c>
    </row>
    <row r="362" spans="1:7">
      <c r="A362" s="3057">
        <v>101</v>
      </c>
      <c r="B362" s="3058" t="s">
        <v>3716</v>
      </c>
      <c r="C362" s="3059">
        <v>98.35</v>
      </c>
      <c r="D362" s="3060">
        <f t="shared" ca="1" si="19"/>
        <v>98.58</v>
      </c>
      <c r="E362" s="3060">
        <f ca="1">结果表!$G$20</f>
        <v>10023</v>
      </c>
      <c r="F362" s="3071">
        <f t="shared" ref="F362:F368" ca="1" si="21">D362</f>
        <v>98.58</v>
      </c>
      <c r="G362" s="2957">
        <f t="shared" ca="1" si="20"/>
        <v>10023</v>
      </c>
    </row>
    <row r="363" spans="1:7">
      <c r="A363" s="3057">
        <v>102</v>
      </c>
      <c r="B363" s="3058" t="s">
        <v>3717</v>
      </c>
      <c r="C363" s="3059">
        <v>129.68</v>
      </c>
      <c r="D363" s="3060">
        <f t="shared" ca="1" si="19"/>
        <v>129.97999999999999</v>
      </c>
      <c r="E363" s="3060">
        <f ca="1">结果表!$G$20</f>
        <v>10023</v>
      </c>
      <c r="F363" s="3071">
        <f t="shared" ca="1" si="21"/>
        <v>129.97999999999999</v>
      </c>
      <c r="G363" s="2957">
        <f t="shared" ca="1" si="20"/>
        <v>10023</v>
      </c>
    </row>
    <row r="364" spans="1:7">
      <c r="A364" s="3057">
        <v>103</v>
      </c>
      <c r="B364" s="3058" t="s">
        <v>3718</v>
      </c>
      <c r="C364" s="3059">
        <v>129.68</v>
      </c>
      <c r="D364" s="3060">
        <f t="shared" ca="1" si="19"/>
        <v>129.97999999999999</v>
      </c>
      <c r="E364" s="3060">
        <f ca="1">结果表!$G$20</f>
        <v>10023</v>
      </c>
      <c r="F364" s="3071">
        <f t="shared" ca="1" si="21"/>
        <v>129.97999999999999</v>
      </c>
      <c r="G364" s="2957">
        <f t="shared" ca="1" si="20"/>
        <v>10023</v>
      </c>
    </row>
    <row r="365" spans="1:7">
      <c r="A365" s="3057">
        <v>104</v>
      </c>
      <c r="B365" s="3058" t="s">
        <v>3719</v>
      </c>
      <c r="C365" s="3059">
        <v>98.35</v>
      </c>
      <c r="D365" s="3060">
        <f t="shared" ca="1" si="19"/>
        <v>98.58</v>
      </c>
      <c r="E365" s="3060">
        <f ca="1">结果表!$G$20</f>
        <v>10023</v>
      </c>
      <c r="F365" s="3071">
        <f t="shared" ca="1" si="21"/>
        <v>98.58</v>
      </c>
      <c r="G365" s="2957">
        <f t="shared" ca="1" si="20"/>
        <v>10023</v>
      </c>
    </row>
    <row r="366" spans="1:7">
      <c r="A366" s="3057">
        <v>105</v>
      </c>
      <c r="B366" s="3058" t="s">
        <v>3720</v>
      </c>
      <c r="C366" s="3059">
        <v>98.35</v>
      </c>
      <c r="D366" s="3060">
        <f t="shared" ca="1" si="19"/>
        <v>98.58</v>
      </c>
      <c r="E366" s="3060">
        <f ca="1">结果表!$G$20</f>
        <v>10023</v>
      </c>
      <c r="F366" s="3071">
        <f t="shared" ca="1" si="21"/>
        <v>98.58</v>
      </c>
      <c r="G366" s="2957">
        <f t="shared" ca="1" si="20"/>
        <v>10023</v>
      </c>
    </row>
    <row r="367" spans="1:7">
      <c r="A367" s="3057">
        <v>106</v>
      </c>
      <c r="B367" s="3058" t="s">
        <v>3721</v>
      </c>
      <c r="C367" s="3059">
        <v>129.68</v>
      </c>
      <c r="D367" s="3060">
        <f t="shared" ca="1" si="19"/>
        <v>129.97999999999999</v>
      </c>
      <c r="E367" s="3060">
        <f ca="1">结果表!$G$20</f>
        <v>10023</v>
      </c>
      <c r="F367" s="3071">
        <f t="shared" ca="1" si="21"/>
        <v>129.97999999999999</v>
      </c>
      <c r="G367" s="2957">
        <f t="shared" ca="1" si="20"/>
        <v>10023</v>
      </c>
    </row>
    <row r="368" spans="1:7">
      <c r="A368" s="3316" t="s">
        <v>3325</v>
      </c>
      <c r="B368" s="3316"/>
      <c r="C368" s="3063">
        <f>SUM(C262:C367)</f>
        <v>12116.92000000002</v>
      </c>
      <c r="D368" s="3060">
        <f ca="1">SUM(D262:D367)</f>
        <v>12145.079999999982</v>
      </c>
      <c r="E368" s="3060">
        <f ca="1">结果表!$G$20</f>
        <v>10023</v>
      </c>
      <c r="F368" s="3071">
        <f t="shared" ca="1" si="21"/>
        <v>12145.079999999982</v>
      </c>
      <c r="G368" s="2957" t="s">
        <v>3833</v>
      </c>
    </row>
    <row r="369" spans="1:7">
      <c r="A369" s="3057">
        <v>1</v>
      </c>
      <c r="B369" s="3058" t="s">
        <v>3722</v>
      </c>
      <c r="C369" s="3059">
        <v>127.04</v>
      </c>
      <c r="D369" s="3060">
        <f ca="1">ROUND(E369*C369/10000,2)</f>
        <v>127.33</v>
      </c>
      <c r="E369" s="3060">
        <f ca="1">结果表!$G$20</f>
        <v>10023</v>
      </c>
      <c r="F369" s="3071">
        <f t="shared" ref="F369:F400" ca="1" si="22">ROUND(C369/$C$473*$D$490,2)</f>
        <v>123.59</v>
      </c>
      <c r="G369" s="2957">
        <f ca="1">ROUND(F369/C369*10000,0)</f>
        <v>9728</v>
      </c>
    </row>
    <row r="370" spans="1:7">
      <c r="A370" s="3057">
        <v>2</v>
      </c>
      <c r="B370" s="3058" t="s">
        <v>3723</v>
      </c>
      <c r="C370" s="3059">
        <v>118.91</v>
      </c>
      <c r="D370" s="3060">
        <f t="shared" ref="D370:D433" ca="1" si="23">ROUND(E370*C370/10000,2)</f>
        <v>119.18</v>
      </c>
      <c r="E370" s="3060">
        <f ca="1">结果表!$G$20</f>
        <v>10023</v>
      </c>
      <c r="F370" s="3071">
        <f t="shared" ca="1" si="22"/>
        <v>115.68</v>
      </c>
      <c r="G370" s="2957">
        <f t="shared" ref="G370:G433" ca="1" si="24">ROUND(F370/C370*10000,0)</f>
        <v>9728</v>
      </c>
    </row>
    <row r="371" spans="1:7">
      <c r="A371" s="3057">
        <v>3</v>
      </c>
      <c r="B371" s="3058" t="s">
        <v>3724</v>
      </c>
      <c r="C371" s="3059">
        <v>118.91</v>
      </c>
      <c r="D371" s="3060">
        <f t="shared" ca="1" si="23"/>
        <v>119.18</v>
      </c>
      <c r="E371" s="3060">
        <f ca="1">结果表!$G$20</f>
        <v>10023</v>
      </c>
      <c r="F371" s="3071">
        <f t="shared" ca="1" si="22"/>
        <v>115.68</v>
      </c>
      <c r="G371" s="2957">
        <f t="shared" ca="1" si="24"/>
        <v>9728</v>
      </c>
    </row>
    <row r="372" spans="1:7">
      <c r="A372" s="3057">
        <v>4</v>
      </c>
      <c r="B372" s="3058" t="s">
        <v>3725</v>
      </c>
      <c r="C372" s="3059">
        <v>127.04</v>
      </c>
      <c r="D372" s="3060">
        <f t="shared" ca="1" si="23"/>
        <v>127.33</v>
      </c>
      <c r="E372" s="3060">
        <f ca="1">结果表!$G$20</f>
        <v>10023</v>
      </c>
      <c r="F372" s="3071">
        <f t="shared" ca="1" si="22"/>
        <v>123.59</v>
      </c>
      <c r="G372" s="2957">
        <f t="shared" ca="1" si="24"/>
        <v>9728</v>
      </c>
    </row>
    <row r="373" spans="1:7">
      <c r="A373" s="3057">
        <v>5</v>
      </c>
      <c r="B373" s="3058" t="s">
        <v>3726</v>
      </c>
      <c r="C373" s="3059">
        <v>127.04</v>
      </c>
      <c r="D373" s="3060">
        <f t="shared" ca="1" si="23"/>
        <v>127.33</v>
      </c>
      <c r="E373" s="3060">
        <f ca="1">结果表!$G$20</f>
        <v>10023</v>
      </c>
      <c r="F373" s="3071">
        <f t="shared" ca="1" si="22"/>
        <v>123.59</v>
      </c>
      <c r="G373" s="2957">
        <f t="shared" ca="1" si="24"/>
        <v>9728</v>
      </c>
    </row>
    <row r="374" spans="1:7">
      <c r="A374" s="3057">
        <v>6</v>
      </c>
      <c r="B374" s="3058" t="s">
        <v>3727</v>
      </c>
      <c r="C374" s="3059">
        <v>118.91</v>
      </c>
      <c r="D374" s="3060">
        <f t="shared" ca="1" si="23"/>
        <v>119.18</v>
      </c>
      <c r="E374" s="3060">
        <f ca="1">结果表!$G$20</f>
        <v>10023</v>
      </c>
      <c r="F374" s="3071">
        <f t="shared" ca="1" si="22"/>
        <v>115.68</v>
      </c>
      <c r="G374" s="2957">
        <f t="shared" ca="1" si="24"/>
        <v>9728</v>
      </c>
    </row>
    <row r="375" spans="1:7">
      <c r="A375" s="3057">
        <v>7</v>
      </c>
      <c r="B375" s="3058" t="s">
        <v>3728</v>
      </c>
      <c r="C375" s="3059">
        <v>118.91</v>
      </c>
      <c r="D375" s="3060">
        <f t="shared" ca="1" si="23"/>
        <v>119.18</v>
      </c>
      <c r="E375" s="3060">
        <f ca="1">结果表!$G$20</f>
        <v>10023</v>
      </c>
      <c r="F375" s="3071">
        <f t="shared" ca="1" si="22"/>
        <v>115.68</v>
      </c>
      <c r="G375" s="2957">
        <f t="shared" ca="1" si="24"/>
        <v>9728</v>
      </c>
    </row>
    <row r="376" spans="1:7">
      <c r="A376" s="3057">
        <v>8</v>
      </c>
      <c r="B376" s="3058" t="s">
        <v>3729</v>
      </c>
      <c r="C376" s="3059">
        <v>127.04</v>
      </c>
      <c r="D376" s="3060">
        <f t="shared" ca="1" si="23"/>
        <v>127.33</v>
      </c>
      <c r="E376" s="3060">
        <f ca="1">结果表!$G$20</f>
        <v>10023</v>
      </c>
      <c r="F376" s="3071">
        <f t="shared" ca="1" si="22"/>
        <v>123.59</v>
      </c>
      <c r="G376" s="2957">
        <f t="shared" ca="1" si="24"/>
        <v>9728</v>
      </c>
    </row>
    <row r="377" spans="1:7">
      <c r="A377" s="3057">
        <v>9</v>
      </c>
      <c r="B377" s="3058" t="s">
        <v>3730</v>
      </c>
      <c r="C377" s="3059">
        <v>127.04</v>
      </c>
      <c r="D377" s="3060">
        <f t="shared" ca="1" si="23"/>
        <v>127.33</v>
      </c>
      <c r="E377" s="3060">
        <f ca="1">结果表!$G$20</f>
        <v>10023</v>
      </c>
      <c r="F377" s="3071">
        <f t="shared" ca="1" si="22"/>
        <v>123.59</v>
      </c>
      <c r="G377" s="2957">
        <f t="shared" ca="1" si="24"/>
        <v>9728</v>
      </c>
    </row>
    <row r="378" spans="1:7">
      <c r="A378" s="3057">
        <v>10</v>
      </c>
      <c r="B378" s="3058" t="s">
        <v>3731</v>
      </c>
      <c r="C378" s="3059">
        <v>118.91</v>
      </c>
      <c r="D378" s="3060">
        <f t="shared" ca="1" si="23"/>
        <v>119.18</v>
      </c>
      <c r="E378" s="3060">
        <f ca="1">结果表!$G$20</f>
        <v>10023</v>
      </c>
      <c r="F378" s="3071">
        <f t="shared" ca="1" si="22"/>
        <v>115.68</v>
      </c>
      <c r="G378" s="2957">
        <f t="shared" ca="1" si="24"/>
        <v>9728</v>
      </c>
    </row>
    <row r="379" spans="1:7">
      <c r="A379" s="3057">
        <v>11</v>
      </c>
      <c r="B379" s="3058" t="s">
        <v>3732</v>
      </c>
      <c r="C379" s="3059">
        <v>118.91</v>
      </c>
      <c r="D379" s="3060">
        <f t="shared" ca="1" si="23"/>
        <v>119.18</v>
      </c>
      <c r="E379" s="3060">
        <f ca="1">结果表!$G$20</f>
        <v>10023</v>
      </c>
      <c r="F379" s="3071">
        <f t="shared" ca="1" si="22"/>
        <v>115.68</v>
      </c>
      <c r="G379" s="2957">
        <f t="shared" ca="1" si="24"/>
        <v>9728</v>
      </c>
    </row>
    <row r="380" spans="1:7">
      <c r="A380" s="3057">
        <v>12</v>
      </c>
      <c r="B380" s="3058" t="s">
        <v>3733</v>
      </c>
      <c r="C380" s="3059">
        <v>127.04</v>
      </c>
      <c r="D380" s="3060">
        <f t="shared" ca="1" si="23"/>
        <v>127.33</v>
      </c>
      <c r="E380" s="3060">
        <f ca="1">结果表!$G$20</f>
        <v>10023</v>
      </c>
      <c r="F380" s="3071">
        <f t="shared" ca="1" si="22"/>
        <v>123.59</v>
      </c>
      <c r="G380" s="2957">
        <f t="shared" ca="1" si="24"/>
        <v>9728</v>
      </c>
    </row>
    <row r="381" spans="1:7">
      <c r="A381" s="3057">
        <v>13</v>
      </c>
      <c r="B381" s="3058" t="s">
        <v>3734</v>
      </c>
      <c r="C381" s="3059">
        <v>127.04</v>
      </c>
      <c r="D381" s="3060">
        <f t="shared" ca="1" si="23"/>
        <v>127.33</v>
      </c>
      <c r="E381" s="3060">
        <f ca="1">结果表!$G$20</f>
        <v>10023</v>
      </c>
      <c r="F381" s="3071">
        <f t="shared" ca="1" si="22"/>
        <v>123.59</v>
      </c>
      <c r="G381" s="2957">
        <f t="shared" ca="1" si="24"/>
        <v>9728</v>
      </c>
    </row>
    <row r="382" spans="1:7">
      <c r="A382" s="3057">
        <v>14</v>
      </c>
      <c r="B382" s="3058" t="s">
        <v>3735</v>
      </c>
      <c r="C382" s="3059">
        <v>118.91</v>
      </c>
      <c r="D382" s="3060">
        <f t="shared" ca="1" si="23"/>
        <v>119.18</v>
      </c>
      <c r="E382" s="3060">
        <f ca="1">结果表!$G$20</f>
        <v>10023</v>
      </c>
      <c r="F382" s="3071">
        <f t="shared" ca="1" si="22"/>
        <v>115.68</v>
      </c>
      <c r="G382" s="2957">
        <f t="shared" ca="1" si="24"/>
        <v>9728</v>
      </c>
    </row>
    <row r="383" spans="1:7">
      <c r="A383" s="3057">
        <v>15</v>
      </c>
      <c r="B383" s="3058" t="s">
        <v>3736</v>
      </c>
      <c r="C383" s="3059">
        <v>118.91</v>
      </c>
      <c r="D383" s="3060">
        <f t="shared" ca="1" si="23"/>
        <v>119.18</v>
      </c>
      <c r="E383" s="3060">
        <f ca="1">结果表!$G$20</f>
        <v>10023</v>
      </c>
      <c r="F383" s="3071">
        <f t="shared" ca="1" si="22"/>
        <v>115.68</v>
      </c>
      <c r="G383" s="2957">
        <f t="shared" ca="1" si="24"/>
        <v>9728</v>
      </c>
    </row>
    <row r="384" spans="1:7">
      <c r="A384" s="3057">
        <v>16</v>
      </c>
      <c r="B384" s="3058" t="s">
        <v>3737</v>
      </c>
      <c r="C384" s="3059">
        <v>127.04</v>
      </c>
      <c r="D384" s="3060">
        <f t="shared" ca="1" si="23"/>
        <v>127.33</v>
      </c>
      <c r="E384" s="3060">
        <f ca="1">结果表!$G$20</f>
        <v>10023</v>
      </c>
      <c r="F384" s="3071">
        <f t="shared" ca="1" si="22"/>
        <v>123.59</v>
      </c>
      <c r="G384" s="2957">
        <f t="shared" ca="1" si="24"/>
        <v>9728</v>
      </c>
    </row>
    <row r="385" spans="1:7">
      <c r="A385" s="3057">
        <v>17</v>
      </c>
      <c r="B385" s="3058" t="s">
        <v>3738</v>
      </c>
      <c r="C385" s="3059">
        <v>127.04</v>
      </c>
      <c r="D385" s="3060">
        <f t="shared" ca="1" si="23"/>
        <v>127.33</v>
      </c>
      <c r="E385" s="3060">
        <f ca="1">结果表!$G$20</f>
        <v>10023</v>
      </c>
      <c r="F385" s="3071">
        <f t="shared" ca="1" si="22"/>
        <v>123.59</v>
      </c>
      <c r="G385" s="2957">
        <f t="shared" ca="1" si="24"/>
        <v>9728</v>
      </c>
    </row>
    <row r="386" spans="1:7">
      <c r="A386" s="3057">
        <v>18</v>
      </c>
      <c r="B386" s="3058" t="s">
        <v>3739</v>
      </c>
      <c r="C386" s="3059">
        <v>118.91</v>
      </c>
      <c r="D386" s="3060">
        <f t="shared" ca="1" si="23"/>
        <v>119.18</v>
      </c>
      <c r="E386" s="3060">
        <f ca="1">结果表!$G$20</f>
        <v>10023</v>
      </c>
      <c r="F386" s="3071">
        <f t="shared" ca="1" si="22"/>
        <v>115.68</v>
      </c>
      <c r="G386" s="2957">
        <f t="shared" ca="1" si="24"/>
        <v>9728</v>
      </c>
    </row>
    <row r="387" spans="1:7">
      <c r="A387" s="3057">
        <v>19</v>
      </c>
      <c r="B387" s="3058" t="s">
        <v>3740</v>
      </c>
      <c r="C387" s="3059">
        <v>118.91</v>
      </c>
      <c r="D387" s="3060">
        <f t="shared" ca="1" si="23"/>
        <v>119.18</v>
      </c>
      <c r="E387" s="3060">
        <f ca="1">结果表!$G$20</f>
        <v>10023</v>
      </c>
      <c r="F387" s="3071">
        <f t="shared" ca="1" si="22"/>
        <v>115.68</v>
      </c>
      <c r="G387" s="2957">
        <f t="shared" ca="1" si="24"/>
        <v>9728</v>
      </c>
    </row>
    <row r="388" spans="1:7">
      <c r="A388" s="3057">
        <v>20</v>
      </c>
      <c r="B388" s="3058" t="s">
        <v>3741</v>
      </c>
      <c r="C388" s="3059">
        <v>127.04</v>
      </c>
      <c r="D388" s="3060">
        <f t="shared" ca="1" si="23"/>
        <v>127.33</v>
      </c>
      <c r="E388" s="3060">
        <f ca="1">结果表!$G$20</f>
        <v>10023</v>
      </c>
      <c r="F388" s="3071">
        <f t="shared" ca="1" si="22"/>
        <v>123.59</v>
      </c>
      <c r="G388" s="2957">
        <f t="shared" ca="1" si="24"/>
        <v>9728</v>
      </c>
    </row>
    <row r="389" spans="1:7">
      <c r="A389" s="3057">
        <v>21</v>
      </c>
      <c r="B389" s="3058" t="s">
        <v>3742</v>
      </c>
      <c r="C389" s="3059">
        <v>127.04</v>
      </c>
      <c r="D389" s="3060">
        <f t="shared" ca="1" si="23"/>
        <v>127.33</v>
      </c>
      <c r="E389" s="3060">
        <f ca="1">结果表!$G$20</f>
        <v>10023</v>
      </c>
      <c r="F389" s="3071">
        <f t="shared" ca="1" si="22"/>
        <v>123.59</v>
      </c>
      <c r="G389" s="2957">
        <f t="shared" ca="1" si="24"/>
        <v>9728</v>
      </c>
    </row>
    <row r="390" spans="1:7">
      <c r="A390" s="3057">
        <v>22</v>
      </c>
      <c r="B390" s="3058" t="s">
        <v>3743</v>
      </c>
      <c r="C390" s="3059">
        <v>118.91</v>
      </c>
      <c r="D390" s="3060">
        <f t="shared" ca="1" si="23"/>
        <v>119.18</v>
      </c>
      <c r="E390" s="3060">
        <f ca="1">结果表!$G$20</f>
        <v>10023</v>
      </c>
      <c r="F390" s="3071">
        <f t="shared" ca="1" si="22"/>
        <v>115.68</v>
      </c>
      <c r="G390" s="2957">
        <f t="shared" ca="1" si="24"/>
        <v>9728</v>
      </c>
    </row>
    <row r="391" spans="1:7">
      <c r="A391" s="3057">
        <v>23</v>
      </c>
      <c r="B391" s="3058" t="s">
        <v>3744</v>
      </c>
      <c r="C391" s="3059">
        <v>118.91</v>
      </c>
      <c r="D391" s="3060">
        <f t="shared" ca="1" si="23"/>
        <v>119.18</v>
      </c>
      <c r="E391" s="3060">
        <f ca="1">结果表!$G$20</f>
        <v>10023</v>
      </c>
      <c r="F391" s="3071">
        <f t="shared" ca="1" si="22"/>
        <v>115.68</v>
      </c>
      <c r="G391" s="2957">
        <f t="shared" ca="1" si="24"/>
        <v>9728</v>
      </c>
    </row>
    <row r="392" spans="1:7">
      <c r="A392" s="3057">
        <v>24</v>
      </c>
      <c r="B392" s="3058" t="s">
        <v>3745</v>
      </c>
      <c r="C392" s="3059">
        <v>127.04</v>
      </c>
      <c r="D392" s="3060">
        <f t="shared" ca="1" si="23"/>
        <v>127.33</v>
      </c>
      <c r="E392" s="3060">
        <f ca="1">结果表!$G$20</f>
        <v>10023</v>
      </c>
      <c r="F392" s="3071">
        <f t="shared" ca="1" si="22"/>
        <v>123.59</v>
      </c>
      <c r="G392" s="2957">
        <f t="shared" ca="1" si="24"/>
        <v>9728</v>
      </c>
    </row>
    <row r="393" spans="1:7">
      <c r="A393" s="3057">
        <v>25</v>
      </c>
      <c r="B393" s="3058" t="s">
        <v>3746</v>
      </c>
      <c r="C393" s="3059">
        <v>127.04</v>
      </c>
      <c r="D393" s="3060">
        <f t="shared" ca="1" si="23"/>
        <v>127.33</v>
      </c>
      <c r="E393" s="3060">
        <f ca="1">结果表!$G$20</f>
        <v>10023</v>
      </c>
      <c r="F393" s="3071">
        <f t="shared" ca="1" si="22"/>
        <v>123.59</v>
      </c>
      <c r="G393" s="2957">
        <f t="shared" ca="1" si="24"/>
        <v>9728</v>
      </c>
    </row>
    <row r="394" spans="1:7">
      <c r="A394" s="3057">
        <v>26</v>
      </c>
      <c r="B394" s="3058" t="s">
        <v>3747</v>
      </c>
      <c r="C394" s="3059">
        <v>118.91</v>
      </c>
      <c r="D394" s="3060">
        <f t="shared" ca="1" si="23"/>
        <v>119.18</v>
      </c>
      <c r="E394" s="3060">
        <f ca="1">结果表!$G$20</f>
        <v>10023</v>
      </c>
      <c r="F394" s="3071">
        <f t="shared" ca="1" si="22"/>
        <v>115.68</v>
      </c>
      <c r="G394" s="2957">
        <f t="shared" ca="1" si="24"/>
        <v>9728</v>
      </c>
    </row>
    <row r="395" spans="1:7">
      <c r="A395" s="3057">
        <v>27</v>
      </c>
      <c r="B395" s="3058" t="s">
        <v>3748</v>
      </c>
      <c r="C395" s="3059">
        <v>118.91</v>
      </c>
      <c r="D395" s="3060">
        <f t="shared" ca="1" si="23"/>
        <v>119.18</v>
      </c>
      <c r="E395" s="3060">
        <f ca="1">结果表!$G$20</f>
        <v>10023</v>
      </c>
      <c r="F395" s="3071">
        <f t="shared" ca="1" si="22"/>
        <v>115.68</v>
      </c>
      <c r="G395" s="2957">
        <f t="shared" ca="1" si="24"/>
        <v>9728</v>
      </c>
    </row>
    <row r="396" spans="1:7">
      <c r="A396" s="3057">
        <v>28</v>
      </c>
      <c r="B396" s="3058" t="s">
        <v>3749</v>
      </c>
      <c r="C396" s="3059">
        <v>127.04</v>
      </c>
      <c r="D396" s="3060">
        <f t="shared" ca="1" si="23"/>
        <v>127.33</v>
      </c>
      <c r="E396" s="3060">
        <f ca="1">结果表!$G$20</f>
        <v>10023</v>
      </c>
      <c r="F396" s="3071">
        <f t="shared" ca="1" si="22"/>
        <v>123.59</v>
      </c>
      <c r="G396" s="2957">
        <f t="shared" ca="1" si="24"/>
        <v>9728</v>
      </c>
    </row>
    <row r="397" spans="1:7">
      <c r="A397" s="3057">
        <v>29</v>
      </c>
      <c r="B397" s="3058" t="s">
        <v>3750</v>
      </c>
      <c r="C397" s="3059">
        <v>127.04</v>
      </c>
      <c r="D397" s="3060">
        <f t="shared" ca="1" si="23"/>
        <v>127.33</v>
      </c>
      <c r="E397" s="3060">
        <f ca="1">结果表!$G$20</f>
        <v>10023</v>
      </c>
      <c r="F397" s="3071">
        <f t="shared" ca="1" si="22"/>
        <v>123.59</v>
      </c>
      <c r="G397" s="2957">
        <f t="shared" ca="1" si="24"/>
        <v>9728</v>
      </c>
    </row>
    <row r="398" spans="1:7">
      <c r="A398" s="3057">
        <v>30</v>
      </c>
      <c r="B398" s="3058" t="s">
        <v>3751</v>
      </c>
      <c r="C398" s="3059">
        <v>118.91</v>
      </c>
      <c r="D398" s="3060">
        <f t="shared" ca="1" si="23"/>
        <v>119.18</v>
      </c>
      <c r="E398" s="3060">
        <f ca="1">结果表!$G$20</f>
        <v>10023</v>
      </c>
      <c r="F398" s="3071">
        <f t="shared" ca="1" si="22"/>
        <v>115.68</v>
      </c>
      <c r="G398" s="2957">
        <f t="shared" ca="1" si="24"/>
        <v>9728</v>
      </c>
    </row>
    <row r="399" spans="1:7">
      <c r="A399" s="3057">
        <v>31</v>
      </c>
      <c r="B399" s="3058" t="s">
        <v>3752</v>
      </c>
      <c r="C399" s="3059">
        <v>118.91</v>
      </c>
      <c r="D399" s="3060">
        <f t="shared" ca="1" si="23"/>
        <v>119.18</v>
      </c>
      <c r="E399" s="3060">
        <f ca="1">结果表!$G$20</f>
        <v>10023</v>
      </c>
      <c r="F399" s="3071">
        <f t="shared" ca="1" si="22"/>
        <v>115.68</v>
      </c>
      <c r="G399" s="2957">
        <f t="shared" ca="1" si="24"/>
        <v>9728</v>
      </c>
    </row>
    <row r="400" spans="1:7">
      <c r="A400" s="3057">
        <v>32</v>
      </c>
      <c r="B400" s="3058" t="s">
        <v>3753</v>
      </c>
      <c r="C400" s="3059">
        <v>127.04</v>
      </c>
      <c r="D400" s="3060">
        <f t="shared" ca="1" si="23"/>
        <v>127.33</v>
      </c>
      <c r="E400" s="3060">
        <f ca="1">结果表!$G$20</f>
        <v>10023</v>
      </c>
      <c r="F400" s="3071">
        <f t="shared" ca="1" si="22"/>
        <v>123.59</v>
      </c>
      <c r="G400" s="2957">
        <f t="shared" ca="1" si="24"/>
        <v>9728</v>
      </c>
    </row>
    <row r="401" spans="1:7">
      <c r="A401" s="3057">
        <v>33</v>
      </c>
      <c r="B401" s="3058" t="s">
        <v>3754</v>
      </c>
      <c r="C401" s="3059">
        <v>127.04</v>
      </c>
      <c r="D401" s="3060">
        <f t="shared" ca="1" si="23"/>
        <v>127.33</v>
      </c>
      <c r="E401" s="3060">
        <f ca="1">结果表!$G$20</f>
        <v>10023</v>
      </c>
      <c r="F401" s="3071">
        <f t="shared" ref="F401:F432" ca="1" si="25">ROUND(C401/$C$473*$D$490,2)</f>
        <v>123.59</v>
      </c>
      <c r="G401" s="2957">
        <f t="shared" ca="1" si="24"/>
        <v>9728</v>
      </c>
    </row>
    <row r="402" spans="1:7">
      <c r="A402" s="3057">
        <v>34</v>
      </c>
      <c r="B402" s="3058" t="s">
        <v>3755</v>
      </c>
      <c r="C402" s="3059">
        <v>118.91</v>
      </c>
      <c r="D402" s="3060">
        <f t="shared" ca="1" si="23"/>
        <v>119.18</v>
      </c>
      <c r="E402" s="3060">
        <f ca="1">结果表!$G$20</f>
        <v>10023</v>
      </c>
      <c r="F402" s="3071">
        <f t="shared" ca="1" si="25"/>
        <v>115.68</v>
      </c>
      <c r="G402" s="2957">
        <f t="shared" ca="1" si="24"/>
        <v>9728</v>
      </c>
    </row>
    <row r="403" spans="1:7">
      <c r="A403" s="3057">
        <v>35</v>
      </c>
      <c r="B403" s="3058" t="s">
        <v>3756</v>
      </c>
      <c r="C403" s="3059">
        <v>118.91</v>
      </c>
      <c r="D403" s="3060">
        <f t="shared" ca="1" si="23"/>
        <v>119.18</v>
      </c>
      <c r="E403" s="3060">
        <f ca="1">结果表!$G$20</f>
        <v>10023</v>
      </c>
      <c r="F403" s="3071">
        <f t="shared" ca="1" si="25"/>
        <v>115.68</v>
      </c>
      <c r="G403" s="2957">
        <f t="shared" ca="1" si="24"/>
        <v>9728</v>
      </c>
    </row>
    <row r="404" spans="1:7">
      <c r="A404" s="3057">
        <v>36</v>
      </c>
      <c r="B404" s="3058" t="s">
        <v>3757</v>
      </c>
      <c r="C404" s="3059">
        <v>127.04</v>
      </c>
      <c r="D404" s="3060">
        <f t="shared" ca="1" si="23"/>
        <v>127.33</v>
      </c>
      <c r="E404" s="3060">
        <f ca="1">结果表!$G$20</f>
        <v>10023</v>
      </c>
      <c r="F404" s="3071">
        <f t="shared" ca="1" si="25"/>
        <v>123.59</v>
      </c>
      <c r="G404" s="2957">
        <f t="shared" ca="1" si="24"/>
        <v>9728</v>
      </c>
    </row>
    <row r="405" spans="1:7">
      <c r="A405" s="3057">
        <v>37</v>
      </c>
      <c r="B405" s="3058" t="s">
        <v>3758</v>
      </c>
      <c r="C405" s="3059">
        <v>127.04</v>
      </c>
      <c r="D405" s="3060">
        <f t="shared" ca="1" si="23"/>
        <v>127.33</v>
      </c>
      <c r="E405" s="3060">
        <f ca="1">结果表!$G$20</f>
        <v>10023</v>
      </c>
      <c r="F405" s="3071">
        <f t="shared" ca="1" si="25"/>
        <v>123.59</v>
      </c>
      <c r="G405" s="2957">
        <f t="shared" ca="1" si="24"/>
        <v>9728</v>
      </c>
    </row>
    <row r="406" spans="1:7">
      <c r="A406" s="3057">
        <v>38</v>
      </c>
      <c r="B406" s="3058" t="s">
        <v>3759</v>
      </c>
      <c r="C406" s="3059">
        <v>118.91</v>
      </c>
      <c r="D406" s="3060">
        <f t="shared" ca="1" si="23"/>
        <v>119.18</v>
      </c>
      <c r="E406" s="3060">
        <f ca="1">结果表!$G$20</f>
        <v>10023</v>
      </c>
      <c r="F406" s="3071">
        <f t="shared" ca="1" si="25"/>
        <v>115.68</v>
      </c>
      <c r="G406" s="2957">
        <f t="shared" ca="1" si="24"/>
        <v>9728</v>
      </c>
    </row>
    <row r="407" spans="1:7">
      <c r="A407" s="3057">
        <v>39</v>
      </c>
      <c r="B407" s="3058" t="s">
        <v>3760</v>
      </c>
      <c r="C407" s="3059">
        <v>118.91</v>
      </c>
      <c r="D407" s="3060">
        <f t="shared" ca="1" si="23"/>
        <v>119.18</v>
      </c>
      <c r="E407" s="3060">
        <f ca="1">结果表!$G$20</f>
        <v>10023</v>
      </c>
      <c r="F407" s="3071">
        <f t="shared" ca="1" si="25"/>
        <v>115.68</v>
      </c>
      <c r="G407" s="2957">
        <f t="shared" ca="1" si="24"/>
        <v>9728</v>
      </c>
    </row>
    <row r="408" spans="1:7">
      <c r="A408" s="3057">
        <v>40</v>
      </c>
      <c r="B408" s="3058" t="s">
        <v>3761</v>
      </c>
      <c r="C408" s="3059">
        <v>127.04</v>
      </c>
      <c r="D408" s="3060">
        <f t="shared" ca="1" si="23"/>
        <v>127.33</v>
      </c>
      <c r="E408" s="3060">
        <f ca="1">结果表!$G$20</f>
        <v>10023</v>
      </c>
      <c r="F408" s="3071">
        <f t="shared" ca="1" si="25"/>
        <v>123.59</v>
      </c>
      <c r="G408" s="2957">
        <f t="shared" ca="1" si="24"/>
        <v>9728</v>
      </c>
    </row>
    <row r="409" spans="1:7">
      <c r="A409" s="3057">
        <v>41</v>
      </c>
      <c r="B409" s="3058" t="s">
        <v>3762</v>
      </c>
      <c r="C409" s="3059">
        <v>127.04</v>
      </c>
      <c r="D409" s="3060">
        <f t="shared" ca="1" si="23"/>
        <v>127.33</v>
      </c>
      <c r="E409" s="3060">
        <f ca="1">结果表!$G$20</f>
        <v>10023</v>
      </c>
      <c r="F409" s="3071">
        <f t="shared" ca="1" si="25"/>
        <v>123.59</v>
      </c>
      <c r="G409" s="2957">
        <f t="shared" ca="1" si="24"/>
        <v>9728</v>
      </c>
    </row>
    <row r="410" spans="1:7">
      <c r="A410" s="3057">
        <v>42</v>
      </c>
      <c r="B410" s="3058" t="s">
        <v>3763</v>
      </c>
      <c r="C410" s="3059">
        <v>118.91</v>
      </c>
      <c r="D410" s="3060">
        <f t="shared" ca="1" si="23"/>
        <v>119.18</v>
      </c>
      <c r="E410" s="3060">
        <f ca="1">结果表!$G$20</f>
        <v>10023</v>
      </c>
      <c r="F410" s="3071">
        <f t="shared" ca="1" si="25"/>
        <v>115.68</v>
      </c>
      <c r="G410" s="2957">
        <f t="shared" ca="1" si="24"/>
        <v>9728</v>
      </c>
    </row>
    <row r="411" spans="1:7">
      <c r="A411" s="3057">
        <v>43</v>
      </c>
      <c r="B411" s="3058" t="s">
        <v>3764</v>
      </c>
      <c r="C411" s="3059">
        <v>118.91</v>
      </c>
      <c r="D411" s="3060">
        <f t="shared" ca="1" si="23"/>
        <v>119.18</v>
      </c>
      <c r="E411" s="3060">
        <f ca="1">结果表!$G$20</f>
        <v>10023</v>
      </c>
      <c r="F411" s="3071">
        <f t="shared" ca="1" si="25"/>
        <v>115.68</v>
      </c>
      <c r="G411" s="2957">
        <f t="shared" ca="1" si="24"/>
        <v>9728</v>
      </c>
    </row>
    <row r="412" spans="1:7">
      <c r="A412" s="3057">
        <v>44</v>
      </c>
      <c r="B412" s="3058" t="s">
        <v>3765</v>
      </c>
      <c r="C412" s="3059">
        <v>127.04</v>
      </c>
      <c r="D412" s="3060">
        <f t="shared" ca="1" si="23"/>
        <v>127.33</v>
      </c>
      <c r="E412" s="3060">
        <f ca="1">结果表!$G$20</f>
        <v>10023</v>
      </c>
      <c r="F412" s="3071">
        <f t="shared" ca="1" si="25"/>
        <v>123.59</v>
      </c>
      <c r="G412" s="2957">
        <f t="shared" ca="1" si="24"/>
        <v>9728</v>
      </c>
    </row>
    <row r="413" spans="1:7">
      <c r="A413" s="3057">
        <v>45</v>
      </c>
      <c r="B413" s="3058" t="s">
        <v>3766</v>
      </c>
      <c r="C413" s="3059">
        <v>127.04</v>
      </c>
      <c r="D413" s="3060">
        <f t="shared" ca="1" si="23"/>
        <v>127.33</v>
      </c>
      <c r="E413" s="3060">
        <f ca="1">结果表!$G$20</f>
        <v>10023</v>
      </c>
      <c r="F413" s="3071">
        <f t="shared" ca="1" si="25"/>
        <v>123.59</v>
      </c>
      <c r="G413" s="2957">
        <f t="shared" ca="1" si="24"/>
        <v>9728</v>
      </c>
    </row>
    <row r="414" spans="1:7">
      <c r="A414" s="3057">
        <v>46</v>
      </c>
      <c r="B414" s="3058" t="s">
        <v>3767</v>
      </c>
      <c r="C414" s="3059">
        <v>118.91</v>
      </c>
      <c r="D414" s="3060">
        <f t="shared" ca="1" si="23"/>
        <v>119.18</v>
      </c>
      <c r="E414" s="3060">
        <f ca="1">结果表!$G$20</f>
        <v>10023</v>
      </c>
      <c r="F414" s="3071">
        <f t="shared" ca="1" si="25"/>
        <v>115.68</v>
      </c>
      <c r="G414" s="2957">
        <f t="shared" ca="1" si="24"/>
        <v>9728</v>
      </c>
    </row>
    <row r="415" spans="1:7">
      <c r="A415" s="3057">
        <v>47</v>
      </c>
      <c r="B415" s="3058" t="s">
        <v>3768</v>
      </c>
      <c r="C415" s="3059">
        <v>118.91</v>
      </c>
      <c r="D415" s="3060">
        <f t="shared" ca="1" si="23"/>
        <v>119.18</v>
      </c>
      <c r="E415" s="3060">
        <f ca="1">结果表!$G$20</f>
        <v>10023</v>
      </c>
      <c r="F415" s="3071">
        <f t="shared" ca="1" si="25"/>
        <v>115.68</v>
      </c>
      <c r="G415" s="2957">
        <f t="shared" ca="1" si="24"/>
        <v>9728</v>
      </c>
    </row>
    <row r="416" spans="1:7">
      <c r="A416" s="3057">
        <v>48</v>
      </c>
      <c r="B416" s="3058" t="s">
        <v>3769</v>
      </c>
      <c r="C416" s="3059">
        <v>127.04</v>
      </c>
      <c r="D416" s="3060">
        <f t="shared" ca="1" si="23"/>
        <v>127.33</v>
      </c>
      <c r="E416" s="3060">
        <f ca="1">结果表!$G$20</f>
        <v>10023</v>
      </c>
      <c r="F416" s="3071">
        <f t="shared" ca="1" si="25"/>
        <v>123.59</v>
      </c>
      <c r="G416" s="2957">
        <f t="shared" ca="1" si="24"/>
        <v>9728</v>
      </c>
    </row>
    <row r="417" spans="1:7">
      <c r="A417" s="3057">
        <v>49</v>
      </c>
      <c r="B417" s="3058" t="s">
        <v>3770</v>
      </c>
      <c r="C417" s="3059">
        <v>127.04</v>
      </c>
      <c r="D417" s="3060">
        <f t="shared" ca="1" si="23"/>
        <v>127.33</v>
      </c>
      <c r="E417" s="3060">
        <f ca="1">结果表!$G$20</f>
        <v>10023</v>
      </c>
      <c r="F417" s="3071">
        <f t="shared" ca="1" si="25"/>
        <v>123.59</v>
      </c>
      <c r="G417" s="2957">
        <f t="shared" ca="1" si="24"/>
        <v>9728</v>
      </c>
    </row>
    <row r="418" spans="1:7">
      <c r="A418" s="3057">
        <v>50</v>
      </c>
      <c r="B418" s="3058" t="s">
        <v>3771</v>
      </c>
      <c r="C418" s="3059">
        <v>118.91</v>
      </c>
      <c r="D418" s="3060">
        <f t="shared" ca="1" si="23"/>
        <v>119.18</v>
      </c>
      <c r="E418" s="3060">
        <f ca="1">结果表!$G$20</f>
        <v>10023</v>
      </c>
      <c r="F418" s="3071">
        <f t="shared" ca="1" si="25"/>
        <v>115.68</v>
      </c>
      <c r="G418" s="2957">
        <f t="shared" ca="1" si="24"/>
        <v>9728</v>
      </c>
    </row>
    <row r="419" spans="1:7">
      <c r="A419" s="3057">
        <v>51</v>
      </c>
      <c r="B419" s="3058" t="s">
        <v>3772</v>
      </c>
      <c r="C419" s="3059">
        <v>118.91</v>
      </c>
      <c r="D419" s="3060">
        <f t="shared" ca="1" si="23"/>
        <v>119.18</v>
      </c>
      <c r="E419" s="3060">
        <f ca="1">结果表!$G$20</f>
        <v>10023</v>
      </c>
      <c r="F419" s="3071">
        <f t="shared" ca="1" si="25"/>
        <v>115.68</v>
      </c>
      <c r="G419" s="2957">
        <f t="shared" ca="1" si="24"/>
        <v>9728</v>
      </c>
    </row>
    <row r="420" spans="1:7">
      <c r="A420" s="3057">
        <v>52</v>
      </c>
      <c r="B420" s="3058" t="s">
        <v>3773</v>
      </c>
      <c r="C420" s="3059">
        <v>127.04</v>
      </c>
      <c r="D420" s="3060">
        <f t="shared" ca="1" si="23"/>
        <v>127.33</v>
      </c>
      <c r="E420" s="3060">
        <f ca="1">结果表!$G$20</f>
        <v>10023</v>
      </c>
      <c r="F420" s="3071">
        <f t="shared" ca="1" si="25"/>
        <v>123.59</v>
      </c>
      <c r="G420" s="2957">
        <f t="shared" ca="1" si="24"/>
        <v>9728</v>
      </c>
    </row>
    <row r="421" spans="1:7">
      <c r="A421" s="3057">
        <v>53</v>
      </c>
      <c r="B421" s="3058" t="s">
        <v>3774</v>
      </c>
      <c r="C421" s="3059">
        <v>127.04</v>
      </c>
      <c r="D421" s="3060">
        <f t="shared" ca="1" si="23"/>
        <v>127.33</v>
      </c>
      <c r="E421" s="3060">
        <f ca="1">结果表!$G$20</f>
        <v>10023</v>
      </c>
      <c r="F421" s="3071">
        <f t="shared" ca="1" si="25"/>
        <v>123.59</v>
      </c>
      <c r="G421" s="2957">
        <f t="shared" ca="1" si="24"/>
        <v>9728</v>
      </c>
    </row>
    <row r="422" spans="1:7">
      <c r="A422" s="3057">
        <v>54</v>
      </c>
      <c r="B422" s="3058" t="s">
        <v>3775</v>
      </c>
      <c r="C422" s="3059">
        <v>118.91</v>
      </c>
      <c r="D422" s="3060">
        <f t="shared" ca="1" si="23"/>
        <v>119.18</v>
      </c>
      <c r="E422" s="3060">
        <f ca="1">结果表!$G$20</f>
        <v>10023</v>
      </c>
      <c r="F422" s="3071">
        <f t="shared" ca="1" si="25"/>
        <v>115.68</v>
      </c>
      <c r="G422" s="2957">
        <f t="shared" ca="1" si="24"/>
        <v>9728</v>
      </c>
    </row>
    <row r="423" spans="1:7">
      <c r="A423" s="3057">
        <v>55</v>
      </c>
      <c r="B423" s="3058" t="s">
        <v>3776</v>
      </c>
      <c r="C423" s="3059">
        <v>118.91</v>
      </c>
      <c r="D423" s="3060">
        <f t="shared" ca="1" si="23"/>
        <v>119.18</v>
      </c>
      <c r="E423" s="3060">
        <f ca="1">结果表!$G$20</f>
        <v>10023</v>
      </c>
      <c r="F423" s="3071">
        <f t="shared" ca="1" si="25"/>
        <v>115.68</v>
      </c>
      <c r="G423" s="2957">
        <f t="shared" ca="1" si="24"/>
        <v>9728</v>
      </c>
    </row>
    <row r="424" spans="1:7">
      <c r="A424" s="3057">
        <v>56</v>
      </c>
      <c r="B424" s="3058" t="s">
        <v>3777</v>
      </c>
      <c r="C424" s="3059">
        <v>127.04</v>
      </c>
      <c r="D424" s="3060">
        <f t="shared" ca="1" si="23"/>
        <v>127.33</v>
      </c>
      <c r="E424" s="3060">
        <f ca="1">结果表!$G$20</f>
        <v>10023</v>
      </c>
      <c r="F424" s="3071">
        <f t="shared" ca="1" si="25"/>
        <v>123.59</v>
      </c>
      <c r="G424" s="2957">
        <f t="shared" ca="1" si="24"/>
        <v>9728</v>
      </c>
    </row>
    <row r="425" spans="1:7">
      <c r="A425" s="3057">
        <v>57</v>
      </c>
      <c r="B425" s="3058" t="s">
        <v>3778</v>
      </c>
      <c r="C425" s="3059">
        <v>127.04</v>
      </c>
      <c r="D425" s="3060">
        <f t="shared" ca="1" si="23"/>
        <v>127.33</v>
      </c>
      <c r="E425" s="3060">
        <f ca="1">结果表!$G$20</f>
        <v>10023</v>
      </c>
      <c r="F425" s="3071">
        <f t="shared" ca="1" si="25"/>
        <v>123.59</v>
      </c>
      <c r="G425" s="2957">
        <f t="shared" ca="1" si="24"/>
        <v>9728</v>
      </c>
    </row>
    <row r="426" spans="1:7">
      <c r="A426" s="3057">
        <v>58</v>
      </c>
      <c r="B426" s="3058" t="s">
        <v>3779</v>
      </c>
      <c r="C426" s="3059">
        <v>118.91</v>
      </c>
      <c r="D426" s="3060">
        <f t="shared" ca="1" si="23"/>
        <v>119.18</v>
      </c>
      <c r="E426" s="3060">
        <f ca="1">结果表!$G$20</f>
        <v>10023</v>
      </c>
      <c r="F426" s="3071">
        <f t="shared" ca="1" si="25"/>
        <v>115.68</v>
      </c>
      <c r="G426" s="2957">
        <f t="shared" ca="1" si="24"/>
        <v>9728</v>
      </c>
    </row>
    <row r="427" spans="1:7">
      <c r="A427" s="3057">
        <v>59</v>
      </c>
      <c r="B427" s="3058" t="s">
        <v>3780</v>
      </c>
      <c r="C427" s="3059">
        <v>118.91</v>
      </c>
      <c r="D427" s="3060">
        <f t="shared" ca="1" si="23"/>
        <v>119.18</v>
      </c>
      <c r="E427" s="3060">
        <f ca="1">结果表!$G$20</f>
        <v>10023</v>
      </c>
      <c r="F427" s="3071">
        <f t="shared" ca="1" si="25"/>
        <v>115.68</v>
      </c>
      <c r="G427" s="2957">
        <f t="shared" ca="1" si="24"/>
        <v>9728</v>
      </c>
    </row>
    <row r="428" spans="1:7">
      <c r="A428" s="3057">
        <v>60</v>
      </c>
      <c r="B428" s="3058" t="s">
        <v>3781</v>
      </c>
      <c r="C428" s="3059">
        <v>127.04</v>
      </c>
      <c r="D428" s="3060">
        <f t="shared" ca="1" si="23"/>
        <v>127.33</v>
      </c>
      <c r="E428" s="3060">
        <f ca="1">结果表!$G$20</f>
        <v>10023</v>
      </c>
      <c r="F428" s="3071">
        <f t="shared" ca="1" si="25"/>
        <v>123.59</v>
      </c>
      <c r="G428" s="2957">
        <f t="shared" ca="1" si="24"/>
        <v>9728</v>
      </c>
    </row>
    <row r="429" spans="1:7">
      <c r="A429" s="3057">
        <v>61</v>
      </c>
      <c r="B429" s="3058" t="s">
        <v>3782</v>
      </c>
      <c r="C429" s="3059">
        <v>127.04</v>
      </c>
      <c r="D429" s="3060">
        <f t="shared" ca="1" si="23"/>
        <v>127.33</v>
      </c>
      <c r="E429" s="3060">
        <f ca="1">结果表!$G$20</f>
        <v>10023</v>
      </c>
      <c r="F429" s="3071">
        <f t="shared" ca="1" si="25"/>
        <v>123.59</v>
      </c>
      <c r="G429" s="2957">
        <f t="shared" ca="1" si="24"/>
        <v>9728</v>
      </c>
    </row>
    <row r="430" spans="1:7">
      <c r="A430" s="3057">
        <v>62</v>
      </c>
      <c r="B430" s="3058" t="s">
        <v>3783</v>
      </c>
      <c r="C430" s="3059">
        <v>118.91</v>
      </c>
      <c r="D430" s="3060">
        <f t="shared" ca="1" si="23"/>
        <v>119.18</v>
      </c>
      <c r="E430" s="3060">
        <f ca="1">结果表!$G$20</f>
        <v>10023</v>
      </c>
      <c r="F430" s="3071">
        <f t="shared" ca="1" si="25"/>
        <v>115.68</v>
      </c>
      <c r="G430" s="2957">
        <f t="shared" ca="1" si="24"/>
        <v>9728</v>
      </c>
    </row>
    <row r="431" spans="1:7">
      <c r="A431" s="3057">
        <v>63</v>
      </c>
      <c r="B431" s="3058" t="s">
        <v>3784</v>
      </c>
      <c r="C431" s="3059">
        <v>118.91</v>
      </c>
      <c r="D431" s="3060">
        <f t="shared" ca="1" si="23"/>
        <v>119.18</v>
      </c>
      <c r="E431" s="3060">
        <f ca="1">结果表!$G$20</f>
        <v>10023</v>
      </c>
      <c r="F431" s="3071">
        <f t="shared" ca="1" si="25"/>
        <v>115.68</v>
      </c>
      <c r="G431" s="2957">
        <f t="shared" ca="1" si="24"/>
        <v>9728</v>
      </c>
    </row>
    <row r="432" spans="1:7">
      <c r="A432" s="3057">
        <v>64</v>
      </c>
      <c r="B432" s="3058" t="s">
        <v>3785</v>
      </c>
      <c r="C432" s="3059">
        <v>127.04</v>
      </c>
      <c r="D432" s="3060">
        <f t="shared" ca="1" si="23"/>
        <v>127.33</v>
      </c>
      <c r="E432" s="3060">
        <f ca="1">结果表!$G$20</f>
        <v>10023</v>
      </c>
      <c r="F432" s="3071">
        <f t="shared" ca="1" si="25"/>
        <v>123.59</v>
      </c>
      <c r="G432" s="2957">
        <f t="shared" ca="1" si="24"/>
        <v>9728</v>
      </c>
    </row>
    <row r="433" spans="1:7">
      <c r="A433" s="3057">
        <v>65</v>
      </c>
      <c r="B433" s="3058" t="s">
        <v>3786</v>
      </c>
      <c r="C433" s="3059">
        <v>127.04</v>
      </c>
      <c r="D433" s="3060">
        <f t="shared" ca="1" si="23"/>
        <v>127.33</v>
      </c>
      <c r="E433" s="3060">
        <f ca="1">结果表!$G$20</f>
        <v>10023</v>
      </c>
      <c r="F433" s="3071">
        <f t="shared" ref="F433:F464" ca="1" si="26">ROUND(C433/$C$473*$D$490,2)</f>
        <v>123.59</v>
      </c>
      <c r="G433" s="2957">
        <f t="shared" ca="1" si="24"/>
        <v>9728</v>
      </c>
    </row>
    <row r="434" spans="1:7">
      <c r="A434" s="3057">
        <v>66</v>
      </c>
      <c r="B434" s="3058" t="s">
        <v>3787</v>
      </c>
      <c r="C434" s="3059">
        <v>118.91</v>
      </c>
      <c r="D434" s="3060">
        <f t="shared" ref="D434:D472" ca="1" si="27">ROUND(E434*C434/10000,2)</f>
        <v>119.18</v>
      </c>
      <c r="E434" s="3060">
        <f ca="1">结果表!$G$20</f>
        <v>10023</v>
      </c>
      <c r="F434" s="3071">
        <f t="shared" ca="1" si="26"/>
        <v>115.68</v>
      </c>
      <c r="G434" s="2957">
        <f t="shared" ref="G434:G471" ca="1" si="28">ROUND(F434/C434*10000,0)</f>
        <v>9728</v>
      </c>
    </row>
    <row r="435" spans="1:7">
      <c r="A435" s="3057">
        <v>67</v>
      </c>
      <c r="B435" s="3058" t="s">
        <v>3788</v>
      </c>
      <c r="C435" s="3059">
        <v>118.91</v>
      </c>
      <c r="D435" s="3060">
        <f t="shared" ca="1" si="27"/>
        <v>119.18</v>
      </c>
      <c r="E435" s="3060">
        <f ca="1">结果表!$G$20</f>
        <v>10023</v>
      </c>
      <c r="F435" s="3071">
        <f t="shared" ca="1" si="26"/>
        <v>115.68</v>
      </c>
      <c r="G435" s="2957">
        <f t="shared" ca="1" si="28"/>
        <v>9728</v>
      </c>
    </row>
    <row r="436" spans="1:7">
      <c r="A436" s="3057">
        <v>68</v>
      </c>
      <c r="B436" s="3058" t="s">
        <v>3789</v>
      </c>
      <c r="C436" s="3059">
        <v>127.04</v>
      </c>
      <c r="D436" s="3060">
        <f t="shared" ca="1" si="27"/>
        <v>127.33</v>
      </c>
      <c r="E436" s="3060">
        <f ca="1">结果表!$G$20</f>
        <v>10023</v>
      </c>
      <c r="F436" s="3071">
        <f t="shared" ca="1" si="26"/>
        <v>123.59</v>
      </c>
      <c r="G436" s="2957">
        <f t="shared" ca="1" si="28"/>
        <v>9728</v>
      </c>
    </row>
    <row r="437" spans="1:7">
      <c r="A437" s="3057">
        <v>69</v>
      </c>
      <c r="B437" s="3058" t="s">
        <v>3790</v>
      </c>
      <c r="C437" s="3059">
        <v>127.04</v>
      </c>
      <c r="D437" s="3060">
        <f t="shared" ca="1" si="27"/>
        <v>127.33</v>
      </c>
      <c r="E437" s="3060">
        <f ca="1">结果表!$G$20</f>
        <v>10023</v>
      </c>
      <c r="F437" s="3071">
        <f t="shared" ca="1" si="26"/>
        <v>123.59</v>
      </c>
      <c r="G437" s="2957">
        <f t="shared" ca="1" si="28"/>
        <v>9728</v>
      </c>
    </row>
    <row r="438" spans="1:7">
      <c r="A438" s="3057">
        <v>70</v>
      </c>
      <c r="B438" s="3058" t="s">
        <v>3791</v>
      </c>
      <c r="C438" s="3059">
        <v>118.91</v>
      </c>
      <c r="D438" s="3060">
        <f t="shared" ca="1" si="27"/>
        <v>119.18</v>
      </c>
      <c r="E438" s="3060">
        <f ca="1">结果表!$G$20</f>
        <v>10023</v>
      </c>
      <c r="F438" s="3071">
        <f t="shared" ca="1" si="26"/>
        <v>115.68</v>
      </c>
      <c r="G438" s="2957">
        <f t="shared" ca="1" si="28"/>
        <v>9728</v>
      </c>
    </row>
    <row r="439" spans="1:7">
      <c r="A439" s="3057">
        <v>71</v>
      </c>
      <c r="B439" s="3058" t="s">
        <v>3792</v>
      </c>
      <c r="C439" s="3059">
        <v>118.91</v>
      </c>
      <c r="D439" s="3060">
        <f t="shared" ca="1" si="27"/>
        <v>119.18</v>
      </c>
      <c r="E439" s="3060">
        <f ca="1">结果表!$G$20</f>
        <v>10023</v>
      </c>
      <c r="F439" s="3071">
        <f t="shared" ca="1" si="26"/>
        <v>115.68</v>
      </c>
      <c r="G439" s="2957">
        <f t="shared" ca="1" si="28"/>
        <v>9728</v>
      </c>
    </row>
    <row r="440" spans="1:7">
      <c r="A440" s="3057">
        <v>72</v>
      </c>
      <c r="B440" s="3058" t="s">
        <v>3793</v>
      </c>
      <c r="C440" s="3059">
        <v>127.04</v>
      </c>
      <c r="D440" s="3060">
        <f t="shared" ca="1" si="27"/>
        <v>127.33</v>
      </c>
      <c r="E440" s="3060">
        <f ca="1">结果表!$G$20</f>
        <v>10023</v>
      </c>
      <c r="F440" s="3071">
        <f t="shared" ca="1" si="26"/>
        <v>123.59</v>
      </c>
      <c r="G440" s="2957">
        <f t="shared" ca="1" si="28"/>
        <v>9728</v>
      </c>
    </row>
    <row r="441" spans="1:7">
      <c r="A441" s="3057">
        <v>73</v>
      </c>
      <c r="B441" s="3058" t="s">
        <v>3794</v>
      </c>
      <c r="C441" s="3059">
        <v>127.04</v>
      </c>
      <c r="D441" s="3060">
        <f t="shared" ca="1" si="27"/>
        <v>127.33</v>
      </c>
      <c r="E441" s="3060">
        <f ca="1">结果表!$G$20</f>
        <v>10023</v>
      </c>
      <c r="F441" s="3071">
        <f t="shared" ca="1" si="26"/>
        <v>123.59</v>
      </c>
      <c r="G441" s="2957">
        <f t="shared" ca="1" si="28"/>
        <v>9728</v>
      </c>
    </row>
    <row r="442" spans="1:7">
      <c r="A442" s="3057">
        <v>74</v>
      </c>
      <c r="B442" s="3058" t="s">
        <v>3795</v>
      </c>
      <c r="C442" s="3059">
        <v>118.91</v>
      </c>
      <c r="D442" s="3060">
        <f t="shared" ca="1" si="27"/>
        <v>119.18</v>
      </c>
      <c r="E442" s="3060">
        <f ca="1">结果表!$G$20</f>
        <v>10023</v>
      </c>
      <c r="F442" s="3071">
        <f t="shared" ca="1" si="26"/>
        <v>115.68</v>
      </c>
      <c r="G442" s="2957">
        <f t="shared" ca="1" si="28"/>
        <v>9728</v>
      </c>
    </row>
    <row r="443" spans="1:7">
      <c r="A443" s="3057">
        <v>75</v>
      </c>
      <c r="B443" s="3058" t="s">
        <v>3796</v>
      </c>
      <c r="C443" s="3059">
        <v>118.91</v>
      </c>
      <c r="D443" s="3060">
        <f t="shared" ca="1" si="27"/>
        <v>119.18</v>
      </c>
      <c r="E443" s="3060">
        <f ca="1">结果表!$G$20</f>
        <v>10023</v>
      </c>
      <c r="F443" s="3071">
        <f t="shared" ca="1" si="26"/>
        <v>115.68</v>
      </c>
      <c r="G443" s="2957">
        <f t="shared" ca="1" si="28"/>
        <v>9728</v>
      </c>
    </row>
    <row r="444" spans="1:7">
      <c r="A444" s="3057">
        <v>76</v>
      </c>
      <c r="B444" s="3058" t="s">
        <v>3797</v>
      </c>
      <c r="C444" s="3059">
        <v>127.04</v>
      </c>
      <c r="D444" s="3060">
        <f t="shared" ca="1" si="27"/>
        <v>127.33</v>
      </c>
      <c r="E444" s="3060">
        <f ca="1">结果表!$G$20</f>
        <v>10023</v>
      </c>
      <c r="F444" s="3071">
        <f t="shared" ca="1" si="26"/>
        <v>123.59</v>
      </c>
      <c r="G444" s="2957">
        <f t="shared" ca="1" si="28"/>
        <v>9728</v>
      </c>
    </row>
    <row r="445" spans="1:7">
      <c r="A445" s="3057">
        <v>77</v>
      </c>
      <c r="B445" s="3058" t="s">
        <v>3798</v>
      </c>
      <c r="C445" s="3059">
        <v>127.04</v>
      </c>
      <c r="D445" s="3060">
        <f t="shared" ca="1" si="27"/>
        <v>127.33</v>
      </c>
      <c r="E445" s="3060">
        <f ca="1">结果表!$G$20</f>
        <v>10023</v>
      </c>
      <c r="F445" s="3071">
        <f t="shared" ca="1" si="26"/>
        <v>123.59</v>
      </c>
      <c r="G445" s="2957">
        <f t="shared" ca="1" si="28"/>
        <v>9728</v>
      </c>
    </row>
    <row r="446" spans="1:7">
      <c r="A446" s="3057">
        <v>78</v>
      </c>
      <c r="B446" s="3058" t="s">
        <v>3799</v>
      </c>
      <c r="C446" s="3059">
        <v>118.91</v>
      </c>
      <c r="D446" s="3060">
        <f t="shared" ca="1" si="27"/>
        <v>119.18</v>
      </c>
      <c r="E446" s="3060">
        <f ca="1">结果表!$G$20</f>
        <v>10023</v>
      </c>
      <c r="F446" s="3071">
        <f t="shared" ca="1" si="26"/>
        <v>115.68</v>
      </c>
      <c r="G446" s="2957">
        <f t="shared" ca="1" si="28"/>
        <v>9728</v>
      </c>
    </row>
    <row r="447" spans="1:7">
      <c r="A447" s="3057">
        <v>79</v>
      </c>
      <c r="B447" s="3058" t="s">
        <v>3800</v>
      </c>
      <c r="C447" s="3059">
        <v>118.91</v>
      </c>
      <c r="D447" s="3060">
        <f t="shared" ca="1" si="27"/>
        <v>119.18</v>
      </c>
      <c r="E447" s="3060">
        <f ca="1">结果表!$G$20</f>
        <v>10023</v>
      </c>
      <c r="F447" s="3071">
        <f t="shared" ca="1" si="26"/>
        <v>115.68</v>
      </c>
      <c r="G447" s="2957">
        <f t="shared" ca="1" si="28"/>
        <v>9728</v>
      </c>
    </row>
    <row r="448" spans="1:7">
      <c r="A448" s="3057">
        <v>80</v>
      </c>
      <c r="B448" s="3058" t="s">
        <v>3801</v>
      </c>
      <c r="C448" s="3059">
        <v>127.04</v>
      </c>
      <c r="D448" s="3060">
        <f t="shared" ca="1" si="27"/>
        <v>127.33</v>
      </c>
      <c r="E448" s="3060">
        <f ca="1">结果表!$G$20</f>
        <v>10023</v>
      </c>
      <c r="F448" s="3071">
        <f t="shared" ca="1" si="26"/>
        <v>123.59</v>
      </c>
      <c r="G448" s="2957">
        <f t="shared" ca="1" si="28"/>
        <v>9728</v>
      </c>
    </row>
    <row r="449" spans="1:7">
      <c r="A449" s="3057">
        <v>81</v>
      </c>
      <c r="B449" s="3058" t="s">
        <v>3802</v>
      </c>
      <c r="C449" s="3059">
        <v>127.04</v>
      </c>
      <c r="D449" s="3060">
        <f t="shared" ca="1" si="27"/>
        <v>127.33</v>
      </c>
      <c r="E449" s="3060">
        <f ca="1">结果表!$G$20</f>
        <v>10023</v>
      </c>
      <c r="F449" s="3071">
        <f t="shared" ca="1" si="26"/>
        <v>123.59</v>
      </c>
      <c r="G449" s="2957">
        <f t="shared" ca="1" si="28"/>
        <v>9728</v>
      </c>
    </row>
    <row r="450" spans="1:7">
      <c r="A450" s="3057">
        <v>82</v>
      </c>
      <c r="B450" s="3058" t="s">
        <v>3803</v>
      </c>
      <c r="C450" s="3059">
        <v>118.91</v>
      </c>
      <c r="D450" s="3060">
        <f t="shared" ca="1" si="27"/>
        <v>119.18</v>
      </c>
      <c r="E450" s="3060">
        <f ca="1">结果表!$G$20</f>
        <v>10023</v>
      </c>
      <c r="F450" s="3071">
        <f t="shared" ca="1" si="26"/>
        <v>115.68</v>
      </c>
      <c r="G450" s="2957">
        <f t="shared" ca="1" si="28"/>
        <v>9728</v>
      </c>
    </row>
    <row r="451" spans="1:7">
      <c r="A451" s="3057">
        <v>83</v>
      </c>
      <c r="B451" s="3058" t="s">
        <v>3804</v>
      </c>
      <c r="C451" s="3059">
        <v>118.91</v>
      </c>
      <c r="D451" s="3060">
        <f t="shared" ca="1" si="27"/>
        <v>119.18</v>
      </c>
      <c r="E451" s="3060">
        <f ca="1">结果表!$G$20</f>
        <v>10023</v>
      </c>
      <c r="F451" s="3071">
        <f t="shared" ca="1" si="26"/>
        <v>115.68</v>
      </c>
      <c r="G451" s="2957">
        <f t="shared" ca="1" si="28"/>
        <v>9728</v>
      </c>
    </row>
    <row r="452" spans="1:7">
      <c r="A452" s="3057">
        <v>84</v>
      </c>
      <c r="B452" s="3058" t="s">
        <v>3805</v>
      </c>
      <c r="C452" s="3059">
        <v>127.04</v>
      </c>
      <c r="D452" s="3060">
        <f t="shared" ca="1" si="27"/>
        <v>127.33</v>
      </c>
      <c r="E452" s="3060">
        <f ca="1">结果表!$G$20</f>
        <v>10023</v>
      </c>
      <c r="F452" s="3071">
        <f t="shared" ca="1" si="26"/>
        <v>123.59</v>
      </c>
      <c r="G452" s="2957">
        <f t="shared" ca="1" si="28"/>
        <v>9728</v>
      </c>
    </row>
    <row r="453" spans="1:7">
      <c r="A453" s="3057">
        <v>85</v>
      </c>
      <c r="B453" s="3058" t="s">
        <v>3806</v>
      </c>
      <c r="C453" s="3059">
        <v>127.04</v>
      </c>
      <c r="D453" s="3060">
        <f t="shared" ca="1" si="27"/>
        <v>127.33</v>
      </c>
      <c r="E453" s="3060">
        <f ca="1">结果表!$G$20</f>
        <v>10023</v>
      </c>
      <c r="F453" s="3071">
        <f t="shared" ca="1" si="26"/>
        <v>123.59</v>
      </c>
      <c r="G453" s="2957">
        <f t="shared" ca="1" si="28"/>
        <v>9728</v>
      </c>
    </row>
    <row r="454" spans="1:7">
      <c r="A454" s="3057">
        <v>86</v>
      </c>
      <c r="B454" s="3058" t="s">
        <v>3807</v>
      </c>
      <c r="C454" s="3059">
        <v>118.91</v>
      </c>
      <c r="D454" s="3060">
        <f t="shared" ca="1" si="27"/>
        <v>119.18</v>
      </c>
      <c r="E454" s="3060">
        <f ca="1">结果表!$G$20</f>
        <v>10023</v>
      </c>
      <c r="F454" s="3071">
        <f t="shared" ca="1" si="26"/>
        <v>115.68</v>
      </c>
      <c r="G454" s="2957">
        <f t="shared" ca="1" si="28"/>
        <v>9728</v>
      </c>
    </row>
    <row r="455" spans="1:7">
      <c r="A455" s="3057">
        <v>87</v>
      </c>
      <c r="B455" s="3058" t="s">
        <v>3808</v>
      </c>
      <c r="C455" s="3059">
        <v>118.91</v>
      </c>
      <c r="D455" s="3060">
        <f t="shared" ca="1" si="27"/>
        <v>119.18</v>
      </c>
      <c r="E455" s="3060">
        <f ca="1">结果表!$G$20</f>
        <v>10023</v>
      </c>
      <c r="F455" s="3071">
        <f t="shared" ca="1" si="26"/>
        <v>115.68</v>
      </c>
      <c r="G455" s="2957">
        <f t="shared" ca="1" si="28"/>
        <v>9728</v>
      </c>
    </row>
    <row r="456" spans="1:7">
      <c r="A456" s="3057">
        <v>88</v>
      </c>
      <c r="B456" s="3058" t="s">
        <v>3809</v>
      </c>
      <c r="C456" s="3059">
        <v>127.04</v>
      </c>
      <c r="D456" s="3060">
        <f t="shared" ca="1" si="27"/>
        <v>127.33</v>
      </c>
      <c r="E456" s="3060">
        <f ca="1">结果表!$G$20</f>
        <v>10023</v>
      </c>
      <c r="F456" s="3071">
        <f t="shared" ca="1" si="26"/>
        <v>123.59</v>
      </c>
      <c r="G456" s="2957">
        <f t="shared" ca="1" si="28"/>
        <v>9728</v>
      </c>
    </row>
    <row r="457" spans="1:7">
      <c r="A457" s="3057">
        <v>89</v>
      </c>
      <c r="B457" s="3058" t="s">
        <v>3810</v>
      </c>
      <c r="C457" s="3059">
        <v>127.04</v>
      </c>
      <c r="D457" s="3060">
        <f t="shared" ca="1" si="27"/>
        <v>127.33</v>
      </c>
      <c r="E457" s="3060">
        <f ca="1">结果表!$G$20</f>
        <v>10023</v>
      </c>
      <c r="F457" s="3071">
        <f t="shared" ca="1" si="26"/>
        <v>123.59</v>
      </c>
      <c r="G457" s="2957">
        <f t="shared" ca="1" si="28"/>
        <v>9728</v>
      </c>
    </row>
    <row r="458" spans="1:7">
      <c r="A458" s="3057">
        <v>90</v>
      </c>
      <c r="B458" s="3058" t="s">
        <v>3811</v>
      </c>
      <c r="C458" s="3059">
        <v>118.91</v>
      </c>
      <c r="D458" s="3060">
        <f t="shared" ca="1" si="27"/>
        <v>119.18</v>
      </c>
      <c r="E458" s="3060">
        <f ca="1">结果表!$G$20</f>
        <v>10023</v>
      </c>
      <c r="F458" s="3071">
        <f t="shared" ca="1" si="26"/>
        <v>115.68</v>
      </c>
      <c r="G458" s="2957">
        <f t="shared" ca="1" si="28"/>
        <v>9728</v>
      </c>
    </row>
    <row r="459" spans="1:7">
      <c r="A459" s="3057">
        <v>91</v>
      </c>
      <c r="B459" s="3058" t="s">
        <v>3812</v>
      </c>
      <c r="C459" s="3059">
        <v>118.91</v>
      </c>
      <c r="D459" s="3060">
        <f t="shared" ca="1" si="27"/>
        <v>119.18</v>
      </c>
      <c r="E459" s="3060">
        <f ca="1">结果表!$G$20</f>
        <v>10023</v>
      </c>
      <c r="F459" s="3071">
        <f t="shared" ca="1" si="26"/>
        <v>115.68</v>
      </c>
      <c r="G459" s="2957">
        <f t="shared" ca="1" si="28"/>
        <v>9728</v>
      </c>
    </row>
    <row r="460" spans="1:7">
      <c r="A460" s="3057">
        <v>92</v>
      </c>
      <c r="B460" s="3058" t="s">
        <v>3813</v>
      </c>
      <c r="C460" s="3059">
        <v>127.04</v>
      </c>
      <c r="D460" s="3060">
        <f t="shared" ca="1" si="27"/>
        <v>127.33</v>
      </c>
      <c r="E460" s="3060">
        <f ca="1">结果表!$G$20</f>
        <v>10023</v>
      </c>
      <c r="F460" s="3071">
        <f t="shared" ca="1" si="26"/>
        <v>123.59</v>
      </c>
      <c r="G460" s="2957">
        <f t="shared" ca="1" si="28"/>
        <v>9728</v>
      </c>
    </row>
    <row r="461" spans="1:7">
      <c r="A461" s="3057">
        <v>93</v>
      </c>
      <c r="B461" s="3058" t="s">
        <v>3814</v>
      </c>
      <c r="C461" s="3059">
        <v>127.04</v>
      </c>
      <c r="D461" s="3060">
        <f t="shared" ca="1" si="27"/>
        <v>127.33</v>
      </c>
      <c r="E461" s="3060">
        <f ca="1">结果表!$G$20</f>
        <v>10023</v>
      </c>
      <c r="F461" s="3071">
        <f t="shared" ca="1" si="26"/>
        <v>123.59</v>
      </c>
      <c r="G461" s="2957">
        <f t="shared" ca="1" si="28"/>
        <v>9728</v>
      </c>
    </row>
    <row r="462" spans="1:7">
      <c r="A462" s="3057">
        <v>94</v>
      </c>
      <c r="B462" s="3058" t="s">
        <v>3815</v>
      </c>
      <c r="C462" s="3059">
        <v>118.91</v>
      </c>
      <c r="D462" s="3060">
        <f t="shared" ca="1" si="27"/>
        <v>119.18</v>
      </c>
      <c r="E462" s="3060">
        <f ca="1">结果表!$G$20</f>
        <v>10023</v>
      </c>
      <c r="F462" s="3071">
        <f t="shared" ca="1" si="26"/>
        <v>115.68</v>
      </c>
      <c r="G462" s="2957">
        <f t="shared" ca="1" si="28"/>
        <v>9728</v>
      </c>
    </row>
    <row r="463" spans="1:7">
      <c r="A463" s="3057">
        <v>95</v>
      </c>
      <c r="B463" s="3058" t="s">
        <v>3816</v>
      </c>
      <c r="C463" s="3059">
        <v>118.91</v>
      </c>
      <c r="D463" s="3060">
        <f t="shared" ca="1" si="27"/>
        <v>119.18</v>
      </c>
      <c r="E463" s="3060">
        <f ca="1">结果表!$G$20</f>
        <v>10023</v>
      </c>
      <c r="F463" s="3071">
        <f t="shared" ca="1" si="26"/>
        <v>115.68</v>
      </c>
      <c r="G463" s="2957">
        <f t="shared" ca="1" si="28"/>
        <v>9728</v>
      </c>
    </row>
    <row r="464" spans="1:7">
      <c r="A464" s="3057">
        <v>96</v>
      </c>
      <c r="B464" s="3058" t="s">
        <v>3817</v>
      </c>
      <c r="C464" s="3059">
        <v>127.04</v>
      </c>
      <c r="D464" s="3060">
        <f t="shared" ca="1" si="27"/>
        <v>127.33</v>
      </c>
      <c r="E464" s="3060">
        <f ca="1">结果表!$G$20</f>
        <v>10023</v>
      </c>
      <c r="F464" s="3071">
        <f t="shared" ca="1" si="26"/>
        <v>123.59</v>
      </c>
      <c r="G464" s="2957">
        <f t="shared" ca="1" si="28"/>
        <v>9728</v>
      </c>
    </row>
    <row r="465" spans="1:7">
      <c r="A465" s="3057">
        <v>97</v>
      </c>
      <c r="B465" s="3058" t="s">
        <v>3818</v>
      </c>
      <c r="C465" s="3059">
        <v>127.04</v>
      </c>
      <c r="D465" s="3060">
        <f t="shared" ca="1" si="27"/>
        <v>127.33</v>
      </c>
      <c r="E465" s="3060">
        <f ca="1">结果表!$G$20</f>
        <v>10023</v>
      </c>
      <c r="F465" s="3071">
        <f t="shared" ref="F465:F471" ca="1" si="29">ROUND(C465/$C$473*$D$490,2)</f>
        <v>123.59</v>
      </c>
      <c r="G465" s="2957">
        <f t="shared" ca="1" si="28"/>
        <v>9728</v>
      </c>
    </row>
    <row r="466" spans="1:7">
      <c r="A466" s="3057">
        <v>98</v>
      </c>
      <c r="B466" s="3058" t="s">
        <v>3819</v>
      </c>
      <c r="C466" s="3059">
        <v>118.91</v>
      </c>
      <c r="D466" s="3060">
        <f t="shared" ca="1" si="27"/>
        <v>119.18</v>
      </c>
      <c r="E466" s="3060">
        <f ca="1">结果表!$G$20</f>
        <v>10023</v>
      </c>
      <c r="F466" s="3071">
        <f t="shared" ca="1" si="29"/>
        <v>115.68</v>
      </c>
      <c r="G466" s="2957">
        <f t="shared" ca="1" si="28"/>
        <v>9728</v>
      </c>
    </row>
    <row r="467" spans="1:7">
      <c r="A467" s="3057">
        <v>99</v>
      </c>
      <c r="B467" s="3058" t="s">
        <v>3820</v>
      </c>
      <c r="C467" s="3059">
        <v>118.91</v>
      </c>
      <c r="D467" s="3060">
        <f t="shared" ca="1" si="27"/>
        <v>119.18</v>
      </c>
      <c r="E467" s="3060">
        <f ca="1">结果表!$G$20</f>
        <v>10023</v>
      </c>
      <c r="F467" s="3071">
        <f t="shared" ca="1" si="29"/>
        <v>115.68</v>
      </c>
      <c r="G467" s="2957">
        <f t="shared" ca="1" si="28"/>
        <v>9728</v>
      </c>
    </row>
    <row r="468" spans="1:7">
      <c r="A468" s="3057">
        <v>100</v>
      </c>
      <c r="B468" s="3058" t="s">
        <v>3821</v>
      </c>
      <c r="C468" s="3059">
        <v>127.04</v>
      </c>
      <c r="D468" s="3060">
        <f t="shared" ca="1" si="27"/>
        <v>127.33</v>
      </c>
      <c r="E468" s="3060">
        <f ca="1">结果表!$G$20</f>
        <v>10023</v>
      </c>
      <c r="F468" s="3071">
        <f t="shared" ca="1" si="29"/>
        <v>123.59</v>
      </c>
      <c r="G468" s="2957">
        <f t="shared" ca="1" si="28"/>
        <v>9728</v>
      </c>
    </row>
    <row r="469" spans="1:7">
      <c r="A469" s="3057">
        <v>101</v>
      </c>
      <c r="B469" s="3058" t="s">
        <v>3822</v>
      </c>
      <c r="C469" s="3059">
        <v>127.04</v>
      </c>
      <c r="D469" s="3060">
        <f t="shared" ca="1" si="27"/>
        <v>127.33</v>
      </c>
      <c r="E469" s="3060">
        <f ca="1">结果表!$G$20</f>
        <v>10023</v>
      </c>
      <c r="F469" s="3071">
        <f t="shared" ca="1" si="29"/>
        <v>123.59</v>
      </c>
      <c r="G469" s="2957">
        <f t="shared" ca="1" si="28"/>
        <v>9728</v>
      </c>
    </row>
    <row r="470" spans="1:7">
      <c r="A470" s="3057">
        <v>102</v>
      </c>
      <c r="B470" s="3058" t="s">
        <v>3823</v>
      </c>
      <c r="C470" s="3059">
        <v>118.91</v>
      </c>
      <c r="D470" s="3060">
        <f t="shared" ca="1" si="27"/>
        <v>119.18</v>
      </c>
      <c r="E470" s="3060">
        <f ca="1">结果表!$G$20</f>
        <v>10023</v>
      </c>
      <c r="F470" s="3071">
        <f t="shared" ca="1" si="29"/>
        <v>115.68</v>
      </c>
      <c r="G470" s="2957">
        <f t="shared" ca="1" si="28"/>
        <v>9728</v>
      </c>
    </row>
    <row r="471" spans="1:7">
      <c r="A471" s="3057">
        <v>103</v>
      </c>
      <c r="B471" s="3058" t="s">
        <v>3824</v>
      </c>
      <c r="C471" s="3059">
        <v>118.91</v>
      </c>
      <c r="D471" s="3060">
        <f t="shared" ca="1" si="27"/>
        <v>119.18</v>
      </c>
      <c r="E471" s="3060">
        <f ca="1">结果表!$G$20</f>
        <v>10023</v>
      </c>
      <c r="F471" s="3071">
        <f t="shared" ca="1" si="29"/>
        <v>115.68</v>
      </c>
      <c r="G471" s="2957">
        <f t="shared" ca="1" si="28"/>
        <v>9728</v>
      </c>
    </row>
    <row r="472" spans="1:7">
      <c r="A472" s="3057">
        <v>104</v>
      </c>
      <c r="B472" s="3058" t="s">
        <v>3825</v>
      </c>
      <c r="C472" s="3059">
        <v>127.04</v>
      </c>
      <c r="D472" s="3060">
        <f t="shared" ca="1" si="27"/>
        <v>127.33</v>
      </c>
      <c r="E472" s="3060">
        <f ca="1">结果表!$G$20</f>
        <v>10023</v>
      </c>
      <c r="F472" s="3071">
        <f ca="1">D490-SUM(F369:F471)</f>
        <v>123.45999999999003</v>
      </c>
      <c r="G472" s="2957">
        <f ca="1">ROUND(F472/C472*10000,0)</f>
        <v>9718</v>
      </c>
    </row>
    <row r="473" spans="1:7">
      <c r="A473" s="3316" t="s">
        <v>3326</v>
      </c>
      <c r="B473" s="3316"/>
      <c r="C473" s="3063">
        <f>SUM(C369:C472)</f>
        <v>12789.400000000011</v>
      </c>
      <c r="D473" s="3060">
        <f ca="1">SUM(D369:D472)</f>
        <v>12818.520000000006</v>
      </c>
      <c r="E473" s="3064" t="s">
        <v>3333</v>
      </c>
      <c r="F473" s="3071">
        <f ca="1">SUM(F369:F472)</f>
        <v>12441.910000000005</v>
      </c>
      <c r="G473" s="3064">
        <f ca="1">ROUND(F473/C473*10000,0)</f>
        <v>9728</v>
      </c>
    </row>
    <row r="474" spans="1:7">
      <c r="A474" s="3316" t="s">
        <v>3327</v>
      </c>
      <c r="B474" s="3316"/>
      <c r="C474" s="3065">
        <f>C82+C167+C261+C368+C473</f>
        <v>54353.540000000023</v>
      </c>
      <c r="D474" s="3073">
        <f ca="1">D82+D167+D261+D368+D473</f>
        <v>54478.599999999977</v>
      </c>
      <c r="E474" s="3064" t="s">
        <v>3286</v>
      </c>
      <c r="F474" s="3065">
        <f ca="1">F82+F167+F261+F368+F473</f>
        <v>54101.989999999976</v>
      </c>
      <c r="G474" s="3076">
        <f ca="1">ROUND(F474/C474*10000,0)</f>
        <v>9954</v>
      </c>
    </row>
    <row r="475" spans="1:7">
      <c r="A475" s="3057">
        <v>1</v>
      </c>
      <c r="B475" s="3058" t="s">
        <v>3826</v>
      </c>
      <c r="C475" s="3059">
        <v>96.54</v>
      </c>
      <c r="D475" s="3060">
        <f ca="1">ROUND(E475*C475/10000,2)</f>
        <v>108.78</v>
      </c>
      <c r="E475" s="3060">
        <f ca="1">'结果表 (商业)'!G20</f>
        <v>11268</v>
      </c>
      <c r="F475">
        <f ca="1">ROUND(D475/$D$481*$E$490,2)</f>
        <v>105.94</v>
      </c>
      <c r="G475">
        <f ca="1">ROUND(F475/C475*10000,0)</f>
        <v>10974</v>
      </c>
    </row>
    <row r="476" spans="1:7">
      <c r="A476" s="3057">
        <v>2</v>
      </c>
      <c r="B476" s="3058" t="s">
        <v>3827</v>
      </c>
      <c r="C476" s="3059">
        <v>87.54</v>
      </c>
      <c r="D476" s="3060">
        <f t="shared" ref="D476:D479" ca="1" si="30">ROUND(E476*C476/10000,2)</f>
        <v>98.64</v>
      </c>
      <c r="E476" s="3060">
        <f ca="1">E475</f>
        <v>11268</v>
      </c>
      <c r="F476" s="3070">
        <f t="shared" ref="F476:F479" ca="1" si="31">ROUND(D476/$D$481*$E$490,2)</f>
        <v>96.06</v>
      </c>
      <c r="G476" s="3070">
        <f t="shared" ref="G476:G480" ca="1" si="32">ROUND(F476/C476*10000,0)</f>
        <v>10973</v>
      </c>
    </row>
    <row r="477" spans="1:7">
      <c r="A477" s="3057">
        <v>3</v>
      </c>
      <c r="B477" s="3058" t="s">
        <v>3828</v>
      </c>
      <c r="C477" s="3059">
        <v>85.74</v>
      </c>
      <c r="D477" s="3060">
        <f t="shared" ca="1" si="30"/>
        <v>96.61</v>
      </c>
      <c r="E477" s="3060">
        <f ca="1">E475</f>
        <v>11268</v>
      </c>
      <c r="F477" s="3070">
        <f t="shared" ca="1" si="31"/>
        <v>94.09</v>
      </c>
      <c r="G477" s="3070">
        <f t="shared" ca="1" si="32"/>
        <v>10974</v>
      </c>
    </row>
    <row r="478" spans="1:7">
      <c r="A478" s="3057">
        <v>4</v>
      </c>
      <c r="B478" s="3058" t="s">
        <v>3829</v>
      </c>
      <c r="C478" s="3059">
        <v>322.42</v>
      </c>
      <c r="D478" s="3060">
        <f t="shared" ca="1" si="30"/>
        <v>363.3</v>
      </c>
      <c r="E478" s="3060">
        <f ca="1">E475</f>
        <v>11268</v>
      </c>
      <c r="F478" s="3070">
        <f t="shared" ca="1" si="31"/>
        <v>353.81</v>
      </c>
      <c r="G478" s="3070">
        <f t="shared" ca="1" si="32"/>
        <v>10974</v>
      </c>
    </row>
    <row r="479" spans="1:7">
      <c r="A479" s="3057">
        <v>5</v>
      </c>
      <c r="B479" s="3058" t="s">
        <v>3830</v>
      </c>
      <c r="C479" s="3059">
        <v>241.14</v>
      </c>
      <c r="D479" s="3060">
        <f t="shared" ca="1" si="30"/>
        <v>271.72000000000003</v>
      </c>
      <c r="E479" s="3060">
        <f ca="1">E475</f>
        <v>11268</v>
      </c>
      <c r="F479" s="3070">
        <f t="shared" ca="1" si="31"/>
        <v>264.62</v>
      </c>
      <c r="G479" s="3070">
        <f t="shared" ca="1" si="32"/>
        <v>10974</v>
      </c>
    </row>
    <row r="480" spans="1:7">
      <c r="A480" s="3057">
        <v>6</v>
      </c>
      <c r="B480" s="3058" t="s">
        <v>3831</v>
      </c>
      <c r="C480" s="3059">
        <v>287.54000000000002</v>
      </c>
      <c r="D480" s="3067">
        <f ca="1">ROUND(E480*C480/10000,2)</f>
        <v>324</v>
      </c>
      <c r="E480" s="3060">
        <f ca="1">E475</f>
        <v>11268</v>
      </c>
      <c r="F480">
        <f ca="1">E490-SUM(F475:F479)</f>
        <v>315.5200000000001</v>
      </c>
      <c r="G480" s="3070">
        <f t="shared" ca="1" si="32"/>
        <v>10973</v>
      </c>
    </row>
    <row r="481" spans="1:9">
      <c r="A481" s="3315" t="s">
        <v>3328</v>
      </c>
      <c r="B481" s="3316"/>
      <c r="C481" s="3054">
        <f>SUM(C475:C480)</f>
        <v>1120.92</v>
      </c>
      <c r="D481" s="3066">
        <f ca="1">SUM(D475:D480)</f>
        <v>1263.0500000000002</v>
      </c>
      <c r="E481" s="3064" t="s">
        <v>3333</v>
      </c>
      <c r="F481">
        <f ca="1">SUM(F475:F480)</f>
        <v>1230.0400000000002</v>
      </c>
      <c r="G481" s="3076">
        <f ca="1">ROUND(F481/C481*10000,0)</f>
        <v>10973</v>
      </c>
    </row>
    <row r="482" spans="1:9" s="3070" customFormat="1">
      <c r="A482" s="3321" t="s">
        <v>3837</v>
      </c>
      <c r="B482" s="3322"/>
      <c r="C482" s="3065">
        <f>C261+C368+C473+C481</f>
        <v>36479.360000000022</v>
      </c>
      <c r="D482" s="3065">
        <f ca="1">D261+D368+D473+D481</f>
        <v>36703.149999999987</v>
      </c>
      <c r="E482" s="3064"/>
      <c r="F482" s="3065">
        <f ca="1">F261+F368+F473+F481</f>
        <v>36293.529999999984</v>
      </c>
      <c r="G482" s="3074">
        <f ca="1">ROUND(F482/C482*10000,0)</f>
        <v>9949</v>
      </c>
      <c r="I482" s="3039"/>
    </row>
    <row r="483" spans="1:9">
      <c r="A483" s="3315" t="s">
        <v>3329</v>
      </c>
      <c r="B483" s="3316"/>
      <c r="C483" s="3065">
        <f>C474+C481</f>
        <v>55474.460000000021</v>
      </c>
      <c r="D483" s="3068">
        <f ca="1">D474+D481</f>
        <v>55741.64999999998</v>
      </c>
      <c r="E483" s="3064" t="s">
        <v>3359</v>
      </c>
      <c r="F483" s="3068">
        <f ca="1">F474+F481</f>
        <v>55332.029999999977</v>
      </c>
      <c r="G483" s="2957" t="s">
        <v>3833</v>
      </c>
      <c r="H483" s="3039"/>
    </row>
    <row r="484" spans="1:9">
      <c r="C484" s="3039"/>
      <c r="D484" s="3039"/>
      <c r="F484" s="3039"/>
    </row>
    <row r="486" spans="1:9">
      <c r="C486" s="3314">
        <f ca="1">F483*10000</f>
        <v>553320299.99999976</v>
      </c>
      <c r="D486" s="3314"/>
      <c r="E486" s="3314"/>
      <c r="F486" s="3314"/>
    </row>
    <row r="488" spans="1:9">
      <c r="D488" s="2957" t="s">
        <v>3834</v>
      </c>
      <c r="E488" s="2957" t="s">
        <v>3835</v>
      </c>
    </row>
    <row r="489" spans="1:9">
      <c r="C489">
        <v>409.62</v>
      </c>
      <c r="D489">
        <f>ROUND(C473/(C473+C481)*C489,2)</f>
        <v>376.61</v>
      </c>
      <c r="E489">
        <f>C489-D489</f>
        <v>33.009999999999991</v>
      </c>
      <c r="F489">
        <f>D489+E489</f>
        <v>409.62</v>
      </c>
    </row>
    <row r="490" spans="1:9">
      <c r="D490">
        <f ca="1">D473-D489</f>
        <v>12441.910000000005</v>
      </c>
      <c r="E490">
        <f ca="1">D481-E489</f>
        <v>1230.0400000000002</v>
      </c>
      <c r="F490" s="3070">
        <f ca="1">D490+E490</f>
        <v>13671.950000000006</v>
      </c>
    </row>
    <row r="494" spans="1:9">
      <c r="C494" s="3075">
        <f>C489*10000</f>
        <v>4096200</v>
      </c>
    </row>
  </sheetData>
  <mergeCells count="11">
    <mergeCell ref="C486:F486"/>
    <mergeCell ref="A481:B481"/>
    <mergeCell ref="A483:B483"/>
    <mergeCell ref="A82:B82"/>
    <mergeCell ref="A167:B167"/>
    <mergeCell ref="A261:B261"/>
    <mergeCell ref="A368:B368"/>
    <mergeCell ref="A473:B473"/>
    <mergeCell ref="A474:B474"/>
    <mergeCell ref="A168:B168"/>
    <mergeCell ref="A482:B482"/>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2" sqref="F32"/>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2448</v>
      </c>
      <c r="B1" s="1581"/>
      <c r="C1" s="1582" t="s">
        <v>3078</v>
      </c>
      <c r="D1" s="1580"/>
      <c r="E1" s="320"/>
      <c r="F1" s="320"/>
      <c r="G1" s="1581"/>
      <c r="H1" s="320"/>
      <c r="I1" s="320"/>
      <c r="J1" s="320"/>
      <c r="K1" s="320">
        <f>MATCH(C1,'数据-取费表'!A6:A16,0)+5</f>
        <v>6</v>
      </c>
    </row>
    <row r="2" spans="1:33" ht="18" customHeight="1">
      <c r="A2" s="245" t="s">
        <v>2316</v>
      </c>
      <c r="B2" s="248">
        <f ca="1">C32</f>
        <v>53836</v>
      </c>
      <c r="C2" s="320" t="s">
        <v>2449</v>
      </c>
      <c r="D2" s="320"/>
      <c r="E2" s="320"/>
      <c r="F2" s="320"/>
      <c r="G2" s="320"/>
      <c r="H2" s="320"/>
      <c r="I2" s="320"/>
      <c r="J2" s="320"/>
      <c r="K2" s="320"/>
    </row>
    <row r="3" spans="1:33" ht="18" customHeight="1" thickBot="1">
      <c r="A3" s="247" t="s">
        <v>2318</v>
      </c>
      <c r="B3" s="248">
        <f ca="1">ROUND(B2*10000/IF(C1="",'数据-汇总表'!E3,INDIRECT("'数据-取费表'!K"&amp;$K$1)),0)</f>
        <v>9905</v>
      </c>
      <c r="C3" s="320" t="s">
        <v>2450</v>
      </c>
      <c r="D3" s="320"/>
      <c r="E3" s="320"/>
      <c r="F3" s="320"/>
      <c r="G3" s="320"/>
      <c r="H3" s="320"/>
      <c r="I3" s="320"/>
      <c r="J3" s="320"/>
      <c r="K3" s="320"/>
    </row>
    <row r="4" spans="1:33" s="956" customFormat="1" ht="16.5" customHeight="1">
      <c r="A4" s="953" t="s">
        <v>2451</v>
      </c>
      <c r="B4" s="954"/>
      <c r="C4" s="996">
        <f>SUM(C8:K8)</f>
        <v>81411</v>
      </c>
      <c r="D4" s="954"/>
      <c r="E4" s="954"/>
      <c r="F4" s="954"/>
      <c r="G4" s="954"/>
      <c r="H4" s="954"/>
      <c r="I4" s="954"/>
      <c r="J4" s="954"/>
      <c r="K4" s="955"/>
    </row>
    <row r="5" spans="1:33" s="960" customFormat="1" ht="14.4">
      <c r="A5" s="957" t="s">
        <v>2452</v>
      </c>
      <c r="B5" s="958" t="s">
        <v>2453</v>
      </c>
      <c r="C5" s="2552" t="s">
        <v>3078</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3027">
        <f>'比较法-住宅'!B3</f>
        <v>14978</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54353.540000000015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2457</v>
      </c>
      <c r="B8" s="177" t="s">
        <v>2458</v>
      </c>
      <c r="C8" s="997">
        <f>'比较法-住宅'!B2</f>
        <v>81411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8561</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1331</v>
      </c>
      <c r="B12" s="972" t="s">
        <v>2467</v>
      </c>
      <c r="C12" s="24">
        <f ca="1">ROUND(C11*F12,0)</f>
        <v>257</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428</v>
      </c>
      <c r="D13" s="1033"/>
      <c r="E13" s="375"/>
      <c r="F13" s="976">
        <f>'数据-取费表'!B34</f>
        <v>0.05</v>
      </c>
      <c r="G13" s="8" t="s">
        <v>2470</v>
      </c>
      <c r="H13" s="968"/>
      <c r="I13" s="968"/>
      <c r="J13" s="968"/>
      <c r="K13" s="969"/>
    </row>
    <row r="14" spans="1:33" s="977" customFormat="1" ht="13.5" customHeight="1">
      <c r="A14" s="971" t="s">
        <v>1333</v>
      </c>
      <c r="B14" s="972" t="s">
        <v>2471</v>
      </c>
      <c r="C14" s="24">
        <f ca="1">ROUND(D14*E14*F11/10000,0)</f>
        <v>489</v>
      </c>
      <c r="D14" s="1033">
        <f ca="1">IF(C1="",'数据-汇总表'!E3,INDIRECT("'数据-取费表'!K"&amp;$K$1)+INDIRECT("'数据-取费表'!S"&amp;$K$1))</f>
        <v>54353.540000000015</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128</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9863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54353.540000000015</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544</v>
      </c>
      <c r="D18" s="1033"/>
      <c r="E18" s="24"/>
      <c r="F18" s="976"/>
      <c r="G18" s="2554"/>
      <c r="H18" s="1577"/>
      <c r="I18" s="2555" t="s">
        <v>2479</v>
      </c>
      <c r="J18" s="979"/>
      <c r="K18" s="980"/>
    </row>
    <row r="19" spans="1:33" s="975" customFormat="1" ht="13.5" customHeight="1">
      <c r="A19" s="971" t="s">
        <v>805</v>
      </c>
      <c r="B19" s="972" t="s">
        <v>2480</v>
      </c>
      <c r="C19" s="24">
        <f ca="1">ROUND(D19*E19/10000,0)</f>
        <v>544</v>
      </c>
      <c r="D19" s="1033">
        <f ca="1">IF(C1="",'数据-汇总表'!E5,IF(INDIRECT("'数据-取费表'!c"&amp;$K$1)="住宅",INDIRECT("'数据-取费表'!k"&amp;$K$1),0))</f>
        <v>54353.540000000015</v>
      </c>
      <c r="E19" s="24">
        <f>'数据-取费表'!B27</f>
        <v>100</v>
      </c>
      <c r="F19" s="976"/>
      <c r="G19" s="15"/>
      <c r="H19" s="1579"/>
      <c r="I19" s="981"/>
      <c r="J19" s="981"/>
      <c r="K19" s="982"/>
    </row>
    <row r="20" spans="1:33" s="975" customFormat="1" ht="13.5" customHeight="1">
      <c r="A20" s="971" t="s">
        <v>806</v>
      </c>
      <c r="B20" s="972" t="s">
        <v>2481</v>
      </c>
      <c r="C20" s="24">
        <f ca="1">ROUND(D20*E20/10000,0)</f>
        <v>0</v>
      </c>
      <c r="D20" s="1033">
        <f ca="1">IF(C1="",'数据-汇总表'!E6,IF(INDIRECT("'数据-取费表'!c"&amp;$K$1)="住宅",INDIRECT("'数据-取费表'!s"&amp;$K$1),INDIRECT("'数据-取费表'!k"&amp;$K$1)+INDIRECT("'数据-取费表'!s"&amp;$K$1)))</f>
        <v>0</v>
      </c>
      <c r="E20" s="24">
        <f>'数据-取费表'!B28</f>
        <v>100</v>
      </c>
      <c r="F20" s="976"/>
      <c r="G20" s="15"/>
      <c r="H20" s="981"/>
      <c r="I20" s="981"/>
      <c r="J20" s="981"/>
      <c r="K20" s="982"/>
    </row>
    <row r="21" spans="1:33" s="975" customFormat="1" ht="13.5" customHeight="1">
      <c r="A21" s="961" t="s">
        <v>802</v>
      </c>
      <c r="B21" s="985" t="s">
        <v>2482</v>
      </c>
      <c r="C21" s="986">
        <f ca="1">C16+C17+C18</f>
        <v>10407</v>
      </c>
      <c r="D21" s="987"/>
      <c r="E21" s="325"/>
      <c r="F21" s="325"/>
      <c r="G21" s="140" t="s">
        <v>2483</v>
      </c>
      <c r="H21" s="979"/>
      <c r="I21" s="979"/>
      <c r="J21" s="979"/>
      <c r="K21" s="980"/>
    </row>
    <row r="22" spans="1:33" s="975" customFormat="1" ht="13.5" customHeight="1">
      <c r="A22" s="961" t="s">
        <v>2455</v>
      </c>
      <c r="B22" s="985" t="s">
        <v>2484</v>
      </c>
      <c r="C22" s="986">
        <f ca="1">ROUND(C21*F22,0)</f>
        <v>312</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1099</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3.8600000000000002E-2</v>
      </c>
      <c r="D24" s="325" t="s">
        <v>15</v>
      </c>
      <c r="E24" s="325"/>
      <c r="F24" s="988">
        <f>IF(项目基本情况!B8="出让",0,'数据-取费表'!B48+'数据-取费表'!B49)</f>
        <v>4.0500000000000001E-2</v>
      </c>
      <c r="G24" s="8" t="s">
        <v>2490</v>
      </c>
      <c r="H24" s="990"/>
      <c r="I24" s="990"/>
      <c r="J24" s="990"/>
      <c r="K24" s="991"/>
    </row>
    <row r="25" spans="1:33" s="975" customFormat="1" ht="13.5" customHeight="1">
      <c r="A25" s="961" t="s">
        <v>2491</v>
      </c>
      <c r="B25" s="987" t="s">
        <v>2492</v>
      </c>
      <c r="C25" s="1356">
        <f ca="1">C27</f>
        <v>334</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334</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2495</v>
      </c>
      <c r="B28" s="2557" t="s">
        <v>2496</v>
      </c>
      <c r="C28" s="331">
        <f ca="1">C30</f>
        <v>1773</v>
      </c>
      <c r="D28" s="324">
        <f ca="1">C29</f>
        <v>7.4800000000000005E-2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2497</v>
      </c>
      <c r="C29" s="328">
        <f ca="1">ROUND((1+C24)*F28*'数据-取费表'!B24/'数据-取费表'!B20,4)</f>
        <v>7.4800000000000005E-2</v>
      </c>
      <c r="D29" s="328"/>
      <c r="E29" s="329"/>
      <c r="F29" s="334"/>
      <c r="G29" s="140" t="s">
        <v>2498</v>
      </c>
      <c r="H29" s="979"/>
      <c r="I29" s="979"/>
      <c r="J29" s="979"/>
      <c r="K29" s="980"/>
    </row>
    <row r="30" spans="1:33" s="335" customFormat="1" ht="13.5" customHeight="1">
      <c r="A30" s="971" t="s">
        <v>804</v>
      </c>
      <c r="B30" s="994" t="s">
        <v>2499</v>
      </c>
      <c r="C30" s="336">
        <f ca="1">ROUND((C21+C22+C23)*F28,0)</f>
        <v>1773</v>
      </c>
      <c r="D30" s="328"/>
      <c r="E30" s="329"/>
      <c r="F30" s="334"/>
      <c r="G30" s="140"/>
      <c r="H30" s="979"/>
      <c r="I30" s="979"/>
      <c r="J30" s="979"/>
      <c r="K30" s="980"/>
    </row>
    <row r="31" spans="1:33" s="975" customFormat="1" ht="13.5" customHeight="1" thickBot="1">
      <c r="A31" s="2558" t="s">
        <v>2500</v>
      </c>
      <c r="B31" s="1005" t="s">
        <v>2501</v>
      </c>
      <c r="C31" s="1006">
        <f>ROUND(C4*F31/(1+'数据-取费表'!C42),0)</f>
        <v>4342</v>
      </c>
      <c r="D31" s="1007"/>
      <c r="E31" s="1008"/>
      <c r="F31" s="1009">
        <f>'数据-取费表'!B41</f>
        <v>5.6000000000000001E-2</v>
      </c>
      <c r="G31" s="1010" t="s">
        <v>2502</v>
      </c>
      <c r="H31" s="1011"/>
      <c r="I31" s="1011"/>
      <c r="J31" s="1011"/>
      <c r="K31" s="1012"/>
    </row>
    <row r="32" spans="1:33" s="970" customFormat="1" ht="13.5" customHeight="1" thickBot="1">
      <c r="A32" s="1000" t="s">
        <v>2503</v>
      </c>
      <c r="B32" s="1001"/>
      <c r="C32" s="1002">
        <f ca="1">ROUND((C4-C21-C22-C23-C25-C28-C31)/(1+C24+D25+D28),0)</f>
        <v>53836</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9" t="s">
        <v>2512</v>
      </c>
      <c r="B1" s="2560"/>
      <c r="C1" s="2560"/>
      <c r="D1" s="2560"/>
      <c r="E1" s="2561"/>
    </row>
    <row r="2" spans="1:6" ht="15.6">
      <c r="A2" s="2562" t="s">
        <v>2316</v>
      </c>
      <c r="B2" s="2563">
        <f ca="1">SUMIF(B6:B13,"&lt;&gt;#ref!",B6:B13)</f>
        <v>1571</v>
      </c>
      <c r="C2" s="2564" t="s">
        <v>2505</v>
      </c>
      <c r="D2" s="2565" t="s">
        <v>2506</v>
      </c>
      <c r="E2" s="2566">
        <f>SUM(E6:E13)</f>
        <v>1120.92</v>
      </c>
    </row>
    <row r="3" spans="1:6" ht="15.6">
      <c r="A3" s="2562" t="s">
        <v>1390</v>
      </c>
      <c r="B3" s="2563">
        <f ca="1">ROUND(B2*10000/E2,0)</f>
        <v>14015</v>
      </c>
      <c r="C3" s="2564" t="s">
        <v>2513</v>
      </c>
      <c r="D3" s="2567"/>
      <c r="E3" s="2568"/>
    </row>
    <row r="4" spans="1:6" ht="15.6">
      <c r="A4" s="2569"/>
      <c r="B4" s="2567"/>
      <c r="C4" s="2567"/>
      <c r="D4" s="2567"/>
      <c r="E4" s="2568"/>
    </row>
    <row r="5" spans="1:6" ht="14.4">
      <c r="A5" s="2570" t="s">
        <v>2507</v>
      </c>
      <c r="B5" s="3323" t="s">
        <v>2508</v>
      </c>
      <c r="C5" s="3323"/>
      <c r="D5" s="2571"/>
      <c r="E5" s="2572" t="s">
        <v>2509</v>
      </c>
      <c r="F5" s="2573" t="s">
        <v>2510</v>
      </c>
    </row>
    <row r="6" spans="1:6" ht="14.4">
      <c r="A6" s="2574">
        <f>'数据-取费表'!AN6</f>
        <v>0</v>
      </c>
      <c r="B6" s="2573" t="e">
        <f ca="1">IF(F6="是",'数据-取费表'!AO6,0)</f>
        <v>#REF!</v>
      </c>
      <c r="C6" s="2564" t="s">
        <v>2505</v>
      </c>
      <c r="D6" s="2567"/>
      <c r="E6" s="2575">
        <f>IF(OR(A6=0,F6="否"),0,'数据-取费表'!K6+'数据-取费表'!S6)</f>
        <v>0</v>
      </c>
      <c r="F6" s="2576" t="s">
        <v>2511</v>
      </c>
    </row>
    <row r="7" spans="1:6" ht="14.4">
      <c r="A7" s="2574" t="str">
        <f>'数据-取费表'!AN7</f>
        <v>收益法 (元)</v>
      </c>
      <c r="B7" s="2573">
        <f ca="1">IF(F7="是",'数据-取费表'!AO7,0)</f>
        <v>1571</v>
      </c>
      <c r="C7" s="2564" t="s">
        <v>2505</v>
      </c>
      <c r="D7" s="2567"/>
      <c r="E7" s="2575">
        <f>IF(OR(A7=0,F7="否"),0,'数据-取费表'!K7+'数据-取费表'!S7)</f>
        <v>1120.92</v>
      </c>
      <c r="F7" s="2576" t="s">
        <v>2511</v>
      </c>
    </row>
    <row r="8" spans="1:6" ht="14.4">
      <c r="A8" s="2574">
        <f>'数据-取费表'!AN8</f>
        <v>0</v>
      </c>
      <c r="B8" s="2573" t="e">
        <f ca="1">IF(F8="是",'数据-取费表'!AO8,0)</f>
        <v>#REF!</v>
      </c>
      <c r="C8" s="2564" t="s">
        <v>2505</v>
      </c>
      <c r="D8" s="2567"/>
      <c r="E8" s="2575">
        <f>IF(OR(A8=0,F8="否"),0,'数据-取费表'!K8+'数据-取费表'!S8)</f>
        <v>0</v>
      </c>
      <c r="F8" s="2576" t="s">
        <v>2511</v>
      </c>
    </row>
    <row r="9" spans="1:6" ht="14.4">
      <c r="A9" s="2574">
        <f>'数据-取费表'!AN9</f>
        <v>0</v>
      </c>
      <c r="B9" s="2573" t="e">
        <f ca="1">IF(F9="是",'数据-取费表'!AO9,0)</f>
        <v>#REF!</v>
      </c>
      <c r="C9" s="2564" t="s">
        <v>2505</v>
      </c>
      <c r="D9" s="2567"/>
      <c r="E9" s="2575">
        <f>IF(OR(A9=0,F9="否"),0,'数据-取费表'!K9+'数据-取费表'!S9)</f>
        <v>0</v>
      </c>
      <c r="F9" s="2576" t="s">
        <v>2511</v>
      </c>
    </row>
    <row r="10" spans="1:6" ht="14.4">
      <c r="A10" s="2574">
        <f>'数据-取费表'!AN10</f>
        <v>0</v>
      </c>
      <c r="B10" s="2573" t="e">
        <f ca="1">IF(F10="是",'数据-取费表'!AO10,0)</f>
        <v>#REF!</v>
      </c>
      <c r="C10" s="2564" t="s">
        <v>2505</v>
      </c>
      <c r="D10" s="2567"/>
      <c r="E10" s="2575">
        <f>IF(OR(A10=0,F10="否"),0,'数据-取费表'!K10+'数据-取费表'!S10)</f>
        <v>0</v>
      </c>
      <c r="F10" s="2576" t="s">
        <v>2511</v>
      </c>
    </row>
    <row r="11" spans="1:6" ht="14.4">
      <c r="A11" s="2574">
        <f>'数据-取费表'!AN11</f>
        <v>0</v>
      </c>
      <c r="B11" s="2573" t="e">
        <f ca="1">IF(F11="是",'数据-取费表'!AO11,0)</f>
        <v>#REF!</v>
      </c>
      <c r="C11" s="2564" t="s">
        <v>2505</v>
      </c>
      <c r="D11" s="2567"/>
      <c r="E11" s="2575">
        <f>IF(OR(A11=0,F11="否"),0,'数据-取费表'!K11+'数据-取费表'!S11)</f>
        <v>0</v>
      </c>
      <c r="F11" s="2576" t="s">
        <v>2511</v>
      </c>
    </row>
    <row r="12" spans="1:6" ht="14.4">
      <c r="A12" s="2574">
        <f>'数据-取费表'!AN12</f>
        <v>0</v>
      </c>
      <c r="B12" s="2573" t="e">
        <f ca="1">IF(F12="是",'数据-取费表'!AO12,0)</f>
        <v>#REF!</v>
      </c>
      <c r="C12" s="2564" t="s">
        <v>2505</v>
      </c>
      <c r="D12" s="2567"/>
      <c r="E12" s="2575">
        <f>IF(OR(A12=0,F12="否"),0,'数据-取费表'!K12+'数据-取费表'!S12)</f>
        <v>0</v>
      </c>
      <c r="F12" s="2576" t="s">
        <v>2511</v>
      </c>
    </row>
    <row r="13" spans="1:6" ht="15" thickBot="1">
      <c r="A13" s="2577">
        <f>'数据-取费表'!AN13</f>
        <v>0</v>
      </c>
      <c r="B13" s="2573" t="e">
        <f ca="1">IF(F13="是",'数据-取费表'!AO13,0)</f>
        <v>#REF!</v>
      </c>
      <c r="C13" s="2578" t="s">
        <v>2505</v>
      </c>
      <c r="D13" s="2579"/>
      <c r="E13" s="2575">
        <f>IF(OR(A13=0,F13="否"),0,'数据-取费表'!K13+'数据-取费表'!S13)</f>
        <v>0</v>
      </c>
      <c r="F13" s="2576"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24" t="s">
        <v>1073</v>
      </c>
      <c r="B1" s="3325"/>
      <c r="C1" s="3326"/>
      <c r="D1" s="3327">
        <f>SUM(I10,I15,I20,I21,I23)</f>
        <v>0</v>
      </c>
      <c r="E1" s="3327"/>
      <c r="F1" s="3327"/>
      <c r="G1" s="3327"/>
      <c r="H1" s="3327"/>
      <c r="I1" s="3328"/>
    </row>
    <row r="2" spans="1:9">
      <c r="A2" s="3329" t="s">
        <v>1074</v>
      </c>
      <c r="B2" s="3330" t="s">
        <v>1075</v>
      </c>
      <c r="C2" s="3330"/>
      <c r="D2" s="1301" t="s">
        <v>1076</v>
      </c>
      <c r="E2" s="1301" t="s">
        <v>1077</v>
      </c>
      <c r="F2" s="1301" t="s">
        <v>1078</v>
      </c>
      <c r="G2" s="1301" t="s">
        <v>1079</v>
      </c>
      <c r="H2" s="1301" t="s">
        <v>1080</v>
      </c>
      <c r="I2" s="1302" t="s">
        <v>1081</v>
      </c>
    </row>
    <row r="3" spans="1:9">
      <c r="A3" s="3329"/>
      <c r="B3" s="3330" t="s">
        <v>1082</v>
      </c>
      <c r="C3" s="3330"/>
      <c r="D3" s="1303"/>
      <c r="E3" s="1301"/>
      <c r="F3" s="1304"/>
      <c r="G3" s="1304"/>
      <c r="H3" s="1305"/>
      <c r="I3" s="1306">
        <f>ROUND(D3*E3*F3*G3*H3/10000,0)</f>
        <v>0</v>
      </c>
    </row>
    <row r="4" spans="1:9">
      <c r="A4" s="3329"/>
      <c r="B4" s="3330" t="s">
        <v>1083</v>
      </c>
      <c r="C4" s="3330"/>
      <c r="D4" s="1303"/>
      <c r="E4" s="1301"/>
      <c r="F4" s="1304"/>
      <c r="G4" s="1304"/>
      <c r="H4" s="1305"/>
      <c r="I4" s="1306">
        <f t="shared" ref="I4:I9" si="0">ROUND(D4*E4*F4*G4*H4/10000,0)</f>
        <v>0</v>
      </c>
    </row>
    <row r="5" spans="1:9">
      <c r="A5" s="3329"/>
      <c r="B5" s="3330" t="s">
        <v>1084</v>
      </c>
      <c r="C5" s="3330"/>
      <c r="D5" s="1303"/>
      <c r="E5" s="1301"/>
      <c r="F5" s="1304"/>
      <c r="G5" s="1304"/>
      <c r="H5" s="1305"/>
      <c r="I5" s="1306">
        <f t="shared" si="0"/>
        <v>0</v>
      </c>
    </row>
    <row r="6" spans="1:9">
      <c r="A6" s="3329"/>
      <c r="B6" s="3330" t="s">
        <v>1085</v>
      </c>
      <c r="C6" s="3330"/>
      <c r="D6" s="1303"/>
      <c r="E6" s="1301"/>
      <c r="F6" s="1304"/>
      <c r="G6" s="1304"/>
      <c r="H6" s="1305"/>
      <c r="I6" s="1306">
        <f t="shared" si="0"/>
        <v>0</v>
      </c>
    </row>
    <row r="7" spans="1:9">
      <c r="A7" s="3329"/>
      <c r="B7" s="3330" t="s">
        <v>1086</v>
      </c>
      <c r="C7" s="3330"/>
      <c r="D7" s="1303"/>
      <c r="E7" s="1301"/>
      <c r="F7" s="1304"/>
      <c r="G7" s="1304"/>
      <c r="H7" s="1305"/>
      <c r="I7" s="1306">
        <f t="shared" si="0"/>
        <v>0</v>
      </c>
    </row>
    <row r="8" spans="1:9">
      <c r="A8" s="3329"/>
      <c r="B8" s="3330" t="s">
        <v>1087</v>
      </c>
      <c r="C8" s="3330"/>
      <c r="D8" s="1303"/>
      <c r="E8" s="1301"/>
      <c r="F8" s="1304"/>
      <c r="G8" s="1304"/>
      <c r="H8" s="1305"/>
      <c r="I8" s="1306">
        <f t="shared" si="0"/>
        <v>0</v>
      </c>
    </row>
    <row r="9" spans="1:9">
      <c r="A9" s="3329"/>
      <c r="B9" s="3330" t="s">
        <v>1088</v>
      </c>
      <c r="C9" s="3330"/>
      <c r="D9" s="1303"/>
      <c r="E9" s="1301"/>
      <c r="F9" s="1304"/>
      <c r="G9" s="1304"/>
      <c r="H9" s="1305"/>
      <c r="I9" s="1306">
        <f t="shared" si="0"/>
        <v>0</v>
      </c>
    </row>
    <row r="10" spans="1:9">
      <c r="A10" s="3329"/>
      <c r="B10" s="3331" t="s">
        <v>1089</v>
      </c>
      <c r="C10" s="3331"/>
      <c r="D10" s="1307"/>
      <c r="E10" s="1307" t="e">
        <f>ROUND(D1*10000/D10/H9,0)</f>
        <v>#DIV/0!</v>
      </c>
      <c r="F10" s="1308"/>
      <c r="G10" s="1308"/>
      <c r="H10" s="1309"/>
      <c r="I10" s="1310">
        <f>SUM(I3:I9)</f>
        <v>0</v>
      </c>
    </row>
    <row r="11" spans="1:9" ht="15.6">
      <c r="A11" s="3329" t="s">
        <v>1090</v>
      </c>
      <c r="B11" s="3330" t="s">
        <v>1091</v>
      </c>
      <c r="C11" s="3330"/>
      <c r="D11" s="1303" t="s">
        <v>1092</v>
      </c>
      <c r="E11" s="1303" t="s">
        <v>1093</v>
      </c>
      <c r="F11" s="1304" t="s">
        <v>1094</v>
      </c>
      <c r="G11" s="1304" t="s">
        <v>1080</v>
      </c>
      <c r="H11" s="1311" t="s">
        <v>1095</v>
      </c>
      <c r="I11" s="1302" t="s">
        <v>1081</v>
      </c>
    </row>
    <row r="12" spans="1:9">
      <c r="A12" s="3329"/>
      <c r="B12" s="3330" t="s">
        <v>1096</v>
      </c>
      <c r="C12" s="3330"/>
      <c r="D12" s="1303"/>
      <c r="E12" s="1303"/>
      <c r="F12" s="1304"/>
      <c r="G12" s="1305"/>
      <c r="H12" s="1312"/>
      <c r="I12" s="1302">
        <f>ROUND(D12*E12*F12*G12/10000,0)</f>
        <v>0</v>
      </c>
    </row>
    <row r="13" spans="1:9">
      <c r="A13" s="3329"/>
      <c r="B13" s="3330" t="s">
        <v>1097</v>
      </c>
      <c r="C13" s="3330"/>
      <c r="D13" s="1303"/>
      <c r="E13" s="1303"/>
      <c r="F13" s="1304"/>
      <c r="G13" s="1305"/>
      <c r="H13" s="1312"/>
      <c r="I13" s="1302">
        <f>ROUND(D13*E13*F13*G13/10000,0)</f>
        <v>0</v>
      </c>
    </row>
    <row r="14" spans="1:9">
      <c r="A14" s="3329"/>
      <c r="B14" s="3330" t="s">
        <v>1098</v>
      </c>
      <c r="C14" s="3330"/>
      <c r="D14" s="1303"/>
      <c r="E14" s="1303"/>
      <c r="F14" s="1304"/>
      <c r="G14" s="1305"/>
      <c r="H14" s="1312"/>
      <c r="I14" s="1302">
        <f>ROUND(D14*E14*F14*G14/10000,0)</f>
        <v>0</v>
      </c>
    </row>
    <row r="15" spans="1:9">
      <c r="A15" s="3329"/>
      <c r="B15" s="3331" t="s">
        <v>1089</v>
      </c>
      <c r="C15" s="3331"/>
      <c r="D15" s="1307"/>
      <c r="E15" s="1307">
        <f>SUM(E12:E14)</f>
        <v>0</v>
      </c>
      <c r="F15" s="1308"/>
      <c r="G15" s="1305"/>
      <c r="H15" s="1312"/>
      <c r="I15" s="1313">
        <f>SUM(I12:I14)</f>
        <v>0</v>
      </c>
    </row>
    <row r="16" spans="1:9" ht="24">
      <c r="A16" s="3329" t="s">
        <v>1099</v>
      </c>
      <c r="B16" s="3330" t="s">
        <v>1100</v>
      </c>
      <c r="C16" s="3330"/>
      <c r="D16" s="1303" t="s">
        <v>1076</v>
      </c>
      <c r="E16" s="1314" t="s">
        <v>1101</v>
      </c>
      <c r="F16" s="1304" t="s">
        <v>1102</v>
      </c>
      <c r="G16" s="1305" t="s">
        <v>1080</v>
      </c>
      <c r="H16" s="1311" t="s">
        <v>1095</v>
      </c>
      <c r="I16" s="1302" t="s">
        <v>1081</v>
      </c>
    </row>
    <row r="17" spans="1:9" ht="15.6">
      <c r="A17" s="3329"/>
      <c r="B17" s="3330" t="s">
        <v>1103</v>
      </c>
      <c r="C17" s="3330"/>
      <c r="D17" s="1303"/>
      <c r="E17" s="1303"/>
      <c r="F17" s="1304"/>
      <c r="G17" s="1305"/>
      <c r="H17" s="1315"/>
      <c r="I17" s="1316">
        <f>ROUND(D17*E17*F17*G17/10000,0)</f>
        <v>0</v>
      </c>
    </row>
    <row r="18" spans="1:9" ht="15.6">
      <c r="A18" s="3329"/>
      <c r="B18" s="3330" t="s">
        <v>1104</v>
      </c>
      <c r="C18" s="3330"/>
      <c r="D18" s="1303"/>
      <c r="E18" s="1303"/>
      <c r="F18" s="1304"/>
      <c r="G18" s="1305"/>
      <c r="H18" s="1315"/>
      <c r="I18" s="1316">
        <f>ROUND(D18*E18*F18*G18/10000,0)</f>
        <v>0</v>
      </c>
    </row>
    <row r="19" spans="1:9" ht="15.6">
      <c r="A19" s="3329"/>
      <c r="B19" s="3330" t="s">
        <v>1105</v>
      </c>
      <c r="C19" s="3330"/>
      <c r="D19" s="1303"/>
      <c r="E19" s="1303"/>
      <c r="F19" s="1304"/>
      <c r="G19" s="1305"/>
      <c r="H19" s="1315"/>
      <c r="I19" s="1316">
        <f>ROUND(D19*E19*F19*G19/10000,0)</f>
        <v>0</v>
      </c>
    </row>
    <row r="20" spans="1:9">
      <c r="A20" s="3329"/>
      <c r="B20" s="3331" t="s">
        <v>1089</v>
      </c>
      <c r="C20" s="3331"/>
      <c r="D20" s="1307">
        <f>SUM(D17:D19)</f>
        <v>0</v>
      </c>
      <c r="E20" s="1307"/>
      <c r="F20" s="1308"/>
      <c r="G20" s="1305"/>
      <c r="H20" s="1312"/>
      <c r="I20" s="1313">
        <f>SUM(I17:I19)</f>
        <v>0</v>
      </c>
    </row>
    <row r="21" spans="1:9">
      <c r="A21" s="3329" t="s">
        <v>1106</v>
      </c>
      <c r="B21" s="3333"/>
      <c r="C21" s="3333"/>
      <c r="D21" s="3333"/>
      <c r="E21" s="3333"/>
      <c r="F21" s="3333"/>
      <c r="G21" s="3333"/>
      <c r="H21" s="1765">
        <v>0.1</v>
      </c>
      <c r="I21" s="1310">
        <f>ROUND(I10*H21,0)</f>
        <v>0</v>
      </c>
    </row>
    <row r="22" spans="1:9" ht="15.6">
      <c r="A22" s="3334" t="s">
        <v>1107</v>
      </c>
      <c r="B22" s="3335"/>
      <c r="C22" s="3336"/>
      <c r="D22" s="1317" t="s">
        <v>1108</v>
      </c>
      <c r="E22" s="1317" t="s">
        <v>1109</v>
      </c>
      <c r="F22" s="1318" t="s">
        <v>1110</v>
      </c>
      <c r="G22" s="1318" t="s">
        <v>1111</v>
      </c>
      <c r="H22" s="1311" t="s">
        <v>1112</v>
      </c>
      <c r="I22" s="1302" t="s">
        <v>1113</v>
      </c>
    </row>
    <row r="23" spans="1:9" ht="15" thickBot="1">
      <c r="A23" s="3337"/>
      <c r="B23" s="3338"/>
      <c r="C23" s="3339"/>
      <c r="D23" s="1319"/>
      <c r="E23" s="1319"/>
      <c r="F23" s="1319"/>
      <c r="G23" s="1320"/>
      <c r="H23" s="1321"/>
      <c r="I23" s="1322">
        <f>ROUND(E23*D23*F23*(1-G23)/10000,0)</f>
        <v>0</v>
      </c>
    </row>
    <row r="26" spans="1:9">
      <c r="A26" s="1323" t="s">
        <v>1114</v>
      </c>
      <c r="B26" s="1323"/>
      <c r="C26" s="1323"/>
      <c r="D26" s="1323"/>
      <c r="E26" s="3340">
        <f>C27-C30-C31-C32</f>
        <v>0</v>
      </c>
      <c r="F26" s="3340"/>
      <c r="G26" s="3340"/>
      <c r="H26" s="1737" t="s">
        <v>1336</v>
      </c>
    </row>
    <row r="27" spans="1:9">
      <c r="A27" s="1324">
        <v>1</v>
      </c>
      <c r="B27" s="1325" t="s">
        <v>1115</v>
      </c>
      <c r="C27" s="1325">
        <f>C28+C29</f>
        <v>0</v>
      </c>
      <c r="D27" s="1325"/>
      <c r="E27" s="3341"/>
      <c r="F27" s="3341"/>
      <c r="G27" s="3341"/>
    </row>
    <row r="28" spans="1:9">
      <c r="A28" s="1326" t="s">
        <v>1116</v>
      </c>
      <c r="B28" s="1325" t="s">
        <v>1117</v>
      </c>
      <c r="C28" s="1325"/>
      <c r="D28" s="1325"/>
      <c r="E28" s="3341"/>
      <c r="F28" s="3341"/>
      <c r="G28" s="334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32"/>
      <c r="F32" s="3332"/>
      <c r="G32" s="3332"/>
    </row>
    <row r="33" spans="1:7" hidden="1">
      <c r="A33" s="3342" t="s">
        <v>1126</v>
      </c>
      <c r="B33" s="3343"/>
      <c r="C33" s="3343"/>
      <c r="D33" s="3344"/>
      <c r="E33" s="3340"/>
      <c r="F33" s="3340"/>
      <c r="G33" s="3340"/>
    </row>
    <row r="34" spans="1:7" hidden="1">
      <c r="A34" s="1328">
        <v>1</v>
      </c>
      <c r="B34" s="1325" t="s">
        <v>1127</v>
      </c>
      <c r="C34" s="1325"/>
      <c r="D34" s="1325"/>
      <c r="E34" s="3341"/>
      <c r="F34" s="3341"/>
      <c r="G34" s="3341"/>
    </row>
    <row r="35" spans="1:7" hidden="1">
      <c r="A35" s="1328">
        <v>2</v>
      </c>
      <c r="B35" s="1325" t="s">
        <v>1128</v>
      </c>
      <c r="C35" s="1325"/>
      <c r="D35" s="1325"/>
      <c r="E35" s="3341"/>
      <c r="F35" s="3341"/>
      <c r="G35" s="3341"/>
    </row>
    <row r="36" spans="1:7" hidden="1">
      <c r="A36" s="1328">
        <v>3</v>
      </c>
      <c r="B36" s="1325" t="s">
        <v>1129</v>
      </c>
      <c r="C36" s="1325"/>
      <c r="D36" s="1325"/>
      <c r="E36" s="3341"/>
      <c r="F36" s="3341"/>
      <c r="G36" s="3341"/>
    </row>
    <row r="37" spans="1:7" hidden="1">
      <c r="A37" s="1328">
        <v>4</v>
      </c>
      <c r="B37" s="1325" t="s">
        <v>1130</v>
      </c>
      <c r="C37" s="1325"/>
      <c r="D37" s="1325"/>
      <c r="E37" s="3341"/>
      <c r="F37" s="3341"/>
      <c r="G37" s="3341"/>
    </row>
    <row r="38" spans="1:7" hidden="1">
      <c r="A38" s="3342" t="s">
        <v>1131</v>
      </c>
      <c r="B38" s="3343"/>
      <c r="C38" s="3343"/>
      <c r="D38" s="3344"/>
      <c r="E38" s="3340"/>
      <c r="F38" s="3340"/>
      <c r="G38" s="33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受贵公司委托，我公司对武汉市东西湖区A地块出让国有建设用地使用权及在建建筑物房地产抵押价值进行了预评估。</v>
      </c>
    </row>
    <row r="5" spans="1:1" ht="17.399999999999999">
      <c r="A5" s="1948" t="s">
        <v>1607</v>
      </c>
    </row>
    <row r="6" spans="1:1" ht="17.399999999999999">
      <c r="A6" s="1949" t="s">
        <v>1608</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估价对象为武汉市东西湖区A地块出让国有建设用地使用权及在建建筑物房地产，为所有。根据，估价对象（分摊）出让国有建设用地使用权面积为16576.98平方米，建筑面积为55474.46平方米。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2019年9月16日（评估专业人员实地查勘之日）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1604</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2514</v>
      </c>
      <c r="B1" s="2580" t="s">
        <v>2515</v>
      </c>
      <c r="C1" s="1634" t="s">
        <v>2516</v>
      </c>
      <c r="D1" s="1621" t="s">
        <v>3078</v>
      </c>
      <c r="E1" s="2581"/>
      <c r="F1" s="2582" t="s">
        <v>2517</v>
      </c>
      <c r="G1" s="1631" t="s">
        <v>2518</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81411</v>
      </c>
      <c r="C2" s="2584" t="s">
        <v>70</v>
      </c>
      <c r="D2" s="1365" t="e">
        <f ca="1">SUMIF(INDIRECT("'"&amp;F2&amp;"'"&amp;"!A:A"),"承租人权益价值",INDIRECT("'"&amp;F2&amp;"'"&amp;"!c:c"))</f>
        <v>#REF!</v>
      </c>
      <c r="E2" s="2585" t="s">
        <v>2519</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f>IF(C2="——",C49,ROUND(B2*10000/D3,0))</f>
        <v>14978</v>
      </c>
      <c r="C3" s="400" t="s">
        <v>2520</v>
      </c>
      <c r="D3" s="399">
        <f>IF(D1="",'数据-汇总表'!E3,SUMIF('数据-汇总表'!$C19:$C33,D1,'数据-汇总表'!$E19:$E33))</f>
        <v>54353.540000000015</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4.4">
      <c r="A4" s="401" t="s">
        <v>2521</v>
      </c>
      <c r="B4" s="402"/>
      <c r="C4" s="3284" t="s">
        <v>2522</v>
      </c>
      <c r="D4" s="3285"/>
      <c r="E4" s="3286" t="s">
        <v>2523</v>
      </c>
      <c r="F4" s="3287"/>
      <c r="G4" s="3284" t="s">
        <v>2524</v>
      </c>
      <c r="H4" s="3285"/>
      <c r="I4" s="3284" t="s">
        <v>2525</v>
      </c>
      <c r="J4" s="3285"/>
      <c r="K4" s="2594" t="s">
        <v>2526</v>
      </c>
      <c r="L4" s="1130"/>
      <c r="M4" s="1131"/>
      <c r="N4" s="1131"/>
      <c r="O4" s="1131"/>
      <c r="P4" s="3288" t="s">
        <v>2527</v>
      </c>
      <c r="Q4" s="3289"/>
      <c r="R4" s="3271" t="s">
        <v>2523</v>
      </c>
      <c r="S4" s="3272"/>
      <c r="T4" s="3271" t="s">
        <v>2524</v>
      </c>
      <c r="U4" s="3272"/>
      <c r="V4" s="3296" t="s">
        <v>2525</v>
      </c>
      <c r="W4" s="3296"/>
      <c r="X4" s="1813"/>
      <c r="Y4" s="3271" t="s">
        <v>2527</v>
      </c>
      <c r="Z4" s="3272"/>
      <c r="AA4" s="3266" t="s">
        <v>2523</v>
      </c>
      <c r="AB4" s="3266" t="s">
        <v>2524</v>
      </c>
      <c r="AC4" s="3266" t="s">
        <v>2525</v>
      </c>
    </row>
    <row r="5" spans="1:29">
      <c r="A5" s="404"/>
      <c r="B5" s="405"/>
      <c r="C5" s="3277" t="s">
        <v>3319</v>
      </c>
      <c r="D5" s="3278"/>
      <c r="E5" s="3345" t="s">
        <v>3354</v>
      </c>
      <c r="F5" s="3276"/>
      <c r="G5" s="3346" t="s">
        <v>3355</v>
      </c>
      <c r="H5" s="3278"/>
      <c r="I5" s="3346" t="s">
        <v>3356</v>
      </c>
      <c r="J5" s="3278"/>
      <c r="K5" s="2595"/>
      <c r="L5" s="1130"/>
      <c r="M5" s="1131"/>
      <c r="N5" s="1131"/>
      <c r="O5" s="1131"/>
      <c r="P5" s="3290"/>
      <c r="Q5" s="3291"/>
      <c r="R5" s="3273"/>
      <c r="S5" s="3274"/>
      <c r="T5" s="3273"/>
      <c r="U5" s="3274"/>
      <c r="V5" s="3296"/>
      <c r="W5" s="3296"/>
      <c r="X5" s="1813"/>
      <c r="Y5" s="3273"/>
      <c r="Z5" s="3274"/>
      <c r="AA5" s="3267"/>
      <c r="AB5" s="3267"/>
      <c r="AC5" s="3267"/>
    </row>
    <row r="6" spans="1:29" ht="15" thickBot="1">
      <c r="A6" s="406"/>
      <c r="B6" s="407"/>
      <c r="C6" s="3279" t="s">
        <v>2781</v>
      </c>
      <c r="D6" s="3280"/>
      <c r="E6" s="3281" t="s">
        <v>2781</v>
      </c>
      <c r="F6" s="3282"/>
      <c r="G6" s="3279" t="s">
        <v>2781</v>
      </c>
      <c r="H6" s="3280"/>
      <c r="I6" s="3279" t="s">
        <v>2781</v>
      </c>
      <c r="J6" s="3280"/>
      <c r="K6" s="2595" t="s">
        <v>2533</v>
      </c>
      <c r="L6" s="1130"/>
      <c r="M6" s="1131"/>
      <c r="N6" s="1131"/>
      <c r="O6" s="1131"/>
      <c r="P6" s="3292"/>
      <c r="Q6" s="3293"/>
      <c r="R6" s="3273"/>
      <c r="S6" s="3274"/>
      <c r="T6" s="3294"/>
      <c r="U6" s="3295"/>
      <c r="V6" s="3296"/>
      <c r="W6" s="3296"/>
      <c r="X6" s="1813"/>
      <c r="Y6" s="3294"/>
      <c r="Z6" s="3295"/>
      <c r="AA6" s="3268"/>
      <c r="AB6" s="3268"/>
      <c r="AC6" s="3268"/>
    </row>
    <row r="7" spans="1:29" s="117" customFormat="1" ht="15" thickBot="1">
      <c r="A7" s="408" t="s">
        <v>2534</v>
      </c>
      <c r="B7" s="409"/>
      <c r="C7" s="410">
        <f>'数据-取费表'!B2</f>
        <v>43724</v>
      </c>
      <c r="D7" s="411">
        <v>100</v>
      </c>
      <c r="E7" s="412">
        <f>C7</f>
        <v>43724</v>
      </c>
      <c r="F7" s="413">
        <f>SUMIF(58:58,YEAR(E7)&amp;"-"&amp;MONTH(E7),59:59)</f>
        <v>100</v>
      </c>
      <c r="G7" s="412">
        <f>C7</f>
        <v>43724</v>
      </c>
      <c r="H7" s="411">
        <f>SUMIF(58:58,YEAR(G7)&amp;"-"&amp;MONTH(G7),59:59)</f>
        <v>100</v>
      </c>
      <c r="I7" s="412">
        <f>C7</f>
        <v>43724</v>
      </c>
      <c r="J7" s="411">
        <f>SUMIF(58:58,YEAR(I7)&amp;"-"&amp;MONTH(I7),59:59)</f>
        <v>100</v>
      </c>
      <c r="K7" s="2596"/>
      <c r="L7" s="1132"/>
      <c r="M7" s="1133"/>
      <c r="N7" s="1133"/>
      <c r="O7" s="1133"/>
      <c r="P7" s="3269" t="s">
        <v>2535</v>
      </c>
      <c r="Q7" s="3297"/>
      <c r="R7" s="770" t="s">
        <v>23</v>
      </c>
      <c r="S7" s="771">
        <f t="shared" ref="S7:S15" si="0">F7</f>
        <v>100</v>
      </c>
      <c r="T7" s="770" t="s">
        <v>23</v>
      </c>
      <c r="U7" s="771">
        <f t="shared" ref="U7:U15" si="1">H7</f>
        <v>100</v>
      </c>
      <c r="V7" s="770" t="s">
        <v>23</v>
      </c>
      <c r="W7" s="771">
        <f t="shared" ref="W7:W15" si="2">J7</f>
        <v>100</v>
      </c>
      <c r="X7" s="772"/>
      <c r="Y7" s="3269" t="s">
        <v>2535</v>
      </c>
      <c r="Z7" s="3270"/>
      <c r="AA7" s="773">
        <f>D7/F7</f>
        <v>1</v>
      </c>
      <c r="AB7" s="773">
        <f>D7/H7</f>
        <v>1</v>
      </c>
      <c r="AC7" s="773">
        <f>D7/J7</f>
        <v>1</v>
      </c>
    </row>
    <row r="8" spans="1:29" s="117" customFormat="1" ht="15" thickBot="1">
      <c r="A8" s="408" t="s">
        <v>2536</v>
      </c>
      <c r="B8" s="409"/>
      <c r="C8" s="414" t="s">
        <v>2537</v>
      </c>
      <c r="D8" s="411">
        <v>100</v>
      </c>
      <c r="E8" s="2977" t="s">
        <v>3208</v>
      </c>
      <c r="F8" s="413">
        <f>SUMIF(61:61,E8,62:62)-SUMIF(61:61,C8,62:62)+100</f>
        <v>100</v>
      </c>
      <c r="G8" s="2975" t="s">
        <v>3208</v>
      </c>
      <c r="H8" s="411">
        <f>SUMIF(61:61,G8,62:62)-SUMIF(61:61,C8,62:62)+100</f>
        <v>100</v>
      </c>
      <c r="I8" s="2977" t="s">
        <v>3208</v>
      </c>
      <c r="J8" s="411">
        <f>SUMIF(61:61,I8,62:62)-SUMIF(61:61,C8,62:62)+100</f>
        <v>100</v>
      </c>
      <c r="K8" s="2596"/>
      <c r="L8" s="1132"/>
      <c r="M8" s="1133"/>
      <c r="N8" s="1133"/>
      <c r="O8" s="1133"/>
      <c r="P8" s="3269" t="s">
        <v>2538</v>
      </c>
      <c r="Q8" s="3270"/>
      <c r="R8" s="770" t="s">
        <v>23</v>
      </c>
      <c r="S8" s="771">
        <f t="shared" si="0"/>
        <v>100</v>
      </c>
      <c r="T8" s="770" t="s">
        <v>23</v>
      </c>
      <c r="U8" s="771">
        <f t="shared" si="1"/>
        <v>100</v>
      </c>
      <c r="V8" s="770" t="s">
        <v>23</v>
      </c>
      <c r="W8" s="771">
        <f t="shared" si="2"/>
        <v>100</v>
      </c>
      <c r="X8" s="772"/>
      <c r="Y8" s="3269" t="s">
        <v>2538</v>
      </c>
      <c r="Z8" s="3270"/>
      <c r="AA8" s="773">
        <f t="shared" ref="AA8:AA19" si="3">D8/F8</f>
        <v>1</v>
      </c>
      <c r="AB8" s="773">
        <f t="shared" ref="AB8:AB19" si="4">D8/H8</f>
        <v>1</v>
      </c>
      <c r="AC8" s="773">
        <f t="shared" ref="AC8:AC19" si="5">D8/J8</f>
        <v>1</v>
      </c>
    </row>
    <row r="9" spans="1:29" s="117" customFormat="1" ht="14.4">
      <c r="A9" s="415" t="s">
        <v>2539</v>
      </c>
      <c r="B9" s="71" t="s">
        <v>2540</v>
      </c>
      <c r="C9" s="2978" t="s">
        <v>3209</v>
      </c>
      <c r="D9" s="135">
        <v>100</v>
      </c>
      <c r="E9" s="2979" t="s">
        <v>3209</v>
      </c>
      <c r="F9" s="418">
        <f>SUMIF(63:63,E9,64:64)-SUMIF(63:63,C9,64:64)+100</f>
        <v>100</v>
      </c>
      <c r="G9" s="2980" t="s">
        <v>3209</v>
      </c>
      <c r="H9" s="135">
        <f>SUMIF(63:63,G9,64:64)-SUMIF(63:63,C9,64:64)+100</f>
        <v>100</v>
      </c>
      <c r="I9" s="2980" t="s">
        <v>3209</v>
      </c>
      <c r="J9" s="135">
        <f>SUMIF(63:63,I9,64:64)-SUMIF(63:63,C9,64:64)+100</f>
        <v>100</v>
      </c>
      <c r="K9" s="2596"/>
      <c r="L9" s="1132"/>
      <c r="M9" s="1133"/>
      <c r="N9" s="1133"/>
      <c r="O9" s="1133"/>
      <c r="P9" s="3307" t="s">
        <v>2541</v>
      </c>
      <c r="Q9" s="1795" t="str">
        <f t="shared" ref="Q9:Q15" si="6">B9</f>
        <v>用途</v>
      </c>
      <c r="R9" s="770" t="s">
        <v>17</v>
      </c>
      <c r="S9" s="771">
        <f t="shared" si="0"/>
        <v>100</v>
      </c>
      <c r="T9" s="770" t="s">
        <v>17</v>
      </c>
      <c r="U9" s="771">
        <f t="shared" si="1"/>
        <v>100</v>
      </c>
      <c r="V9" s="770" t="s">
        <v>17</v>
      </c>
      <c r="W9" s="771">
        <f t="shared" si="2"/>
        <v>100</v>
      </c>
      <c r="X9" s="772"/>
      <c r="Y9" s="3143" t="s">
        <v>2542</v>
      </c>
      <c r="Z9" s="55" t="str">
        <f t="shared" ref="Z9:Z15" si="7">Q9</f>
        <v>用途</v>
      </c>
      <c r="AA9" s="773">
        <f t="shared" si="3"/>
        <v>1</v>
      </c>
      <c r="AB9" s="773">
        <f t="shared" si="4"/>
        <v>1</v>
      </c>
      <c r="AC9" s="773">
        <f t="shared" si="5"/>
        <v>1</v>
      </c>
    </row>
    <row r="10" spans="1:29" s="427" customFormat="1" ht="28.8">
      <c r="A10" s="421"/>
      <c r="B10" s="422" t="s">
        <v>2543</v>
      </c>
      <c r="C10" s="423" t="s">
        <v>3302</v>
      </c>
      <c r="D10" s="136">
        <v>100</v>
      </c>
      <c r="E10" s="424" t="s">
        <v>3302</v>
      </c>
      <c r="F10" s="425">
        <f>SUMIF(65:65,E10,66:66)-SUMIF(65:65,C10,66:66)+100</f>
        <v>100</v>
      </c>
      <c r="G10" s="423" t="s">
        <v>3302</v>
      </c>
      <c r="H10" s="136">
        <f>SUMIF(65:65,G10,66:66)-SUMIF(65:65,C10,66:66)+100</f>
        <v>100</v>
      </c>
      <c r="I10" s="423" t="s">
        <v>3302</v>
      </c>
      <c r="J10" s="136">
        <f>SUMIF(65:65,I10,66:66)-SUMIF(65:65,C10,66:66)+100</f>
        <v>100</v>
      </c>
      <c r="K10" s="426">
        <v>2</v>
      </c>
      <c r="L10" s="1135"/>
      <c r="M10" s="1136"/>
      <c r="N10" s="1136"/>
      <c r="O10" s="1136"/>
      <c r="P10" s="3307"/>
      <c r="Q10" s="1795" t="str">
        <f t="shared" si="6"/>
        <v>土地使用年限（年）</v>
      </c>
      <c r="R10" s="770" t="s">
        <v>17</v>
      </c>
      <c r="S10" s="771">
        <f t="shared" si="0"/>
        <v>100</v>
      </c>
      <c r="T10" s="770" t="s">
        <v>17</v>
      </c>
      <c r="U10" s="771">
        <f t="shared" si="1"/>
        <v>100</v>
      </c>
      <c r="V10" s="770" t="s">
        <v>17</v>
      </c>
      <c r="W10" s="771">
        <f t="shared" si="2"/>
        <v>100</v>
      </c>
      <c r="X10" s="772"/>
      <c r="Y10" s="3143"/>
      <c r="Z10" s="55" t="str">
        <f t="shared" si="7"/>
        <v>土地使用年限（年）</v>
      </c>
      <c r="AA10" s="773">
        <f t="shared" si="3"/>
        <v>1</v>
      </c>
      <c r="AB10" s="773">
        <f t="shared" si="4"/>
        <v>1</v>
      </c>
      <c r="AC10" s="773">
        <f t="shared" si="5"/>
        <v>1</v>
      </c>
    </row>
    <row r="11" spans="1:29" ht="15.6" thickBot="1">
      <c r="A11" s="428"/>
      <c r="B11" s="422" t="s">
        <v>2544</v>
      </c>
      <c r="C11" s="429">
        <f>权属!C18</f>
        <v>3.35</v>
      </c>
      <c r="D11" s="136">
        <v>100</v>
      </c>
      <c r="E11" s="430">
        <v>2.2599999999999998</v>
      </c>
      <c r="F11" s="425">
        <f>LOOKUP(E11,68:68,69:69)-LOOKUP(C11,68:68,69:69)+100</f>
        <v>102</v>
      </c>
      <c r="G11" s="429">
        <v>3.9</v>
      </c>
      <c r="H11" s="136">
        <f>LOOKUP(G11,68:68,69:69)-LOOKUP(C11,68:68,69:69)+100</f>
        <v>100</v>
      </c>
      <c r="I11" s="429">
        <v>2.8</v>
      </c>
      <c r="J11" s="136">
        <f>LOOKUP(I11,68:68,69:69)-LOOKUP(C11,68:68,69:69)+100</f>
        <v>102</v>
      </c>
      <c r="K11" s="426">
        <v>2</v>
      </c>
      <c r="L11" s="1138"/>
      <c r="M11" s="1131"/>
      <c r="N11" s="1131"/>
      <c r="O11" s="1131"/>
      <c r="P11" s="3307"/>
      <c r="Q11" s="1795" t="str">
        <f t="shared" si="6"/>
        <v>容积率</v>
      </c>
      <c r="R11" s="770" t="s">
        <v>21</v>
      </c>
      <c r="S11" s="771">
        <f t="shared" si="0"/>
        <v>102</v>
      </c>
      <c r="T11" s="770" t="s">
        <v>21</v>
      </c>
      <c r="U11" s="771">
        <f t="shared" si="1"/>
        <v>100</v>
      </c>
      <c r="V11" s="770" t="s">
        <v>21</v>
      </c>
      <c r="W11" s="771">
        <f t="shared" si="2"/>
        <v>102</v>
      </c>
      <c r="X11" s="772"/>
      <c r="Y11" s="3143"/>
      <c r="Z11" s="55" t="str">
        <f t="shared" si="7"/>
        <v>容积率</v>
      </c>
      <c r="AA11" s="773">
        <f t="shared" si="3"/>
        <v>0.98039215686274506</v>
      </c>
      <c r="AB11" s="773">
        <f t="shared" si="4"/>
        <v>1</v>
      </c>
      <c r="AC11" s="773">
        <f t="shared" si="5"/>
        <v>0.98039215686274506</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307"/>
      <c r="Q12" s="1795">
        <f t="shared" si="6"/>
        <v>111</v>
      </c>
      <c r="R12" s="770" t="s">
        <v>21</v>
      </c>
      <c r="S12" s="771">
        <f t="shared" si="0"/>
        <v>100</v>
      </c>
      <c r="T12" s="770" t="s">
        <v>21</v>
      </c>
      <c r="U12" s="771">
        <f t="shared" si="1"/>
        <v>100</v>
      </c>
      <c r="V12" s="770" t="s">
        <v>21</v>
      </c>
      <c r="W12" s="771">
        <f t="shared" si="2"/>
        <v>100</v>
      </c>
      <c r="X12" s="772"/>
      <c r="Y12" s="3143"/>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307"/>
      <c r="Q13" s="1795">
        <f t="shared" si="6"/>
        <v>111</v>
      </c>
      <c r="R13" s="770" t="s">
        <v>21</v>
      </c>
      <c r="S13" s="771">
        <f t="shared" si="0"/>
        <v>100</v>
      </c>
      <c r="T13" s="770" t="s">
        <v>21</v>
      </c>
      <c r="U13" s="771">
        <f t="shared" si="1"/>
        <v>100</v>
      </c>
      <c r="V13" s="770" t="s">
        <v>21</v>
      </c>
      <c r="W13" s="771">
        <f t="shared" si="2"/>
        <v>100</v>
      </c>
      <c r="X13" s="772"/>
      <c r="Y13" s="3143"/>
      <c r="Z13" s="55">
        <f t="shared" si="7"/>
        <v>111</v>
      </c>
      <c r="AA13" s="773">
        <f t="shared" si="3"/>
        <v>1</v>
      </c>
      <c r="AB13" s="773">
        <f t="shared" si="4"/>
        <v>1</v>
      </c>
      <c r="AC13" s="773">
        <f t="shared" si="5"/>
        <v>1</v>
      </c>
    </row>
    <row r="14" spans="1:29" ht="15.6"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307"/>
      <c r="Q14" s="1795">
        <f t="shared" si="6"/>
        <v>111</v>
      </c>
      <c r="R14" s="770" t="s">
        <v>21</v>
      </c>
      <c r="S14" s="771">
        <f t="shared" si="0"/>
        <v>100</v>
      </c>
      <c r="T14" s="770" t="s">
        <v>21</v>
      </c>
      <c r="U14" s="771">
        <f t="shared" si="1"/>
        <v>100</v>
      </c>
      <c r="V14" s="770" t="s">
        <v>21</v>
      </c>
      <c r="W14" s="771">
        <f t="shared" si="2"/>
        <v>100</v>
      </c>
      <c r="X14" s="772"/>
      <c r="Y14" s="3143"/>
      <c r="Z14" s="55">
        <f t="shared" si="7"/>
        <v>111</v>
      </c>
      <c r="AA14" s="773">
        <f t="shared" si="3"/>
        <v>1</v>
      </c>
      <c r="AB14" s="773">
        <f t="shared" si="4"/>
        <v>1</v>
      </c>
      <c r="AC14" s="773">
        <f t="shared" si="5"/>
        <v>1</v>
      </c>
    </row>
    <row r="15" spans="1:29" ht="15">
      <c r="A15" s="440" t="s">
        <v>2545</v>
      </c>
      <c r="B15" s="69" t="s">
        <v>2082</v>
      </c>
      <c r="C15" s="2600" t="str">
        <f>估价对象房地状况!C3</f>
        <v>一般</v>
      </c>
      <c r="D15" s="441">
        <v>100</v>
      </c>
      <c r="E15" s="444"/>
      <c r="F15" s="441">
        <f>SUMIF(76:76,E16,77:77)-SUMIF(76:76,C16,77:77)+100</f>
        <v>103</v>
      </c>
      <c r="G15" s="442"/>
      <c r="H15" s="441">
        <f>SUMIF(76:76,G16,77:77)-SUMIF(76:76,C16,77:77)+100</f>
        <v>103</v>
      </c>
      <c r="I15" s="442"/>
      <c r="J15" s="441">
        <f>SUMIF(76:76,I16,77:77)-SUMIF(76:76,C16,77:77)+100</f>
        <v>103</v>
      </c>
      <c r="K15" s="445">
        <v>3</v>
      </c>
      <c r="L15" s="1140"/>
      <c r="M15" s="1131"/>
      <c r="N15" s="1131"/>
      <c r="O15" s="1131"/>
      <c r="P15" s="3353" t="s">
        <v>2546</v>
      </c>
      <c r="Q15" s="1810" t="str">
        <f t="shared" si="6"/>
        <v>居住社区成熟度</v>
      </c>
      <c r="R15" s="774" t="s">
        <v>21</v>
      </c>
      <c r="S15" s="775">
        <f t="shared" si="0"/>
        <v>103</v>
      </c>
      <c r="T15" s="774" t="s">
        <v>21</v>
      </c>
      <c r="U15" s="775">
        <f t="shared" si="1"/>
        <v>103</v>
      </c>
      <c r="V15" s="774" t="s">
        <v>21</v>
      </c>
      <c r="W15" s="775">
        <f t="shared" si="2"/>
        <v>103</v>
      </c>
      <c r="X15" s="1813"/>
      <c r="Y15" s="3298" t="s">
        <v>2546</v>
      </c>
      <c r="Z15" s="1814" t="str">
        <f t="shared" si="7"/>
        <v>居住社区成熟度</v>
      </c>
      <c r="AA15" s="1811">
        <f t="shared" si="3"/>
        <v>0.970873786407767</v>
      </c>
      <c r="AB15" s="1811">
        <f t="shared" si="4"/>
        <v>0.970873786407767</v>
      </c>
      <c r="AC15" s="1811">
        <f t="shared" si="5"/>
        <v>0.970873786407767</v>
      </c>
    </row>
    <row r="16" spans="1:29" ht="15">
      <c r="A16" s="428"/>
      <c r="B16" s="446"/>
      <c r="C16" s="2967" t="s">
        <v>3210</v>
      </c>
      <c r="D16" s="448"/>
      <c r="E16" s="2969" t="s">
        <v>3213</v>
      </c>
      <c r="F16" s="448"/>
      <c r="G16" s="2968" t="s">
        <v>3213</v>
      </c>
      <c r="H16" s="450"/>
      <c r="I16" s="2968" t="s">
        <v>3213</v>
      </c>
      <c r="J16" s="448"/>
      <c r="K16" s="2603"/>
      <c r="L16" s="1140"/>
      <c r="M16" s="1131"/>
      <c r="N16" s="1131"/>
      <c r="O16" s="1131"/>
      <c r="P16" s="3354"/>
      <c r="Q16" s="1810"/>
      <c r="R16" s="774"/>
      <c r="S16" s="775"/>
      <c r="T16" s="774"/>
      <c r="U16" s="775"/>
      <c r="V16" s="774"/>
      <c r="W16" s="775"/>
      <c r="X16" s="1813"/>
      <c r="Y16" s="3299"/>
      <c r="Z16" s="1814"/>
      <c r="AA16" s="1811">
        <v>1</v>
      </c>
      <c r="AB16" s="1811">
        <v>1</v>
      </c>
      <c r="AC16" s="1811">
        <v>1</v>
      </c>
    </row>
    <row r="17" spans="1:29" ht="15">
      <c r="A17" s="428"/>
      <c r="B17" s="451" t="s">
        <v>2088</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354"/>
      <c r="Q17" s="1810" t="str">
        <f>B17</f>
        <v>交通便捷度</v>
      </c>
      <c r="R17" s="774" t="s">
        <v>21</v>
      </c>
      <c r="S17" s="775">
        <f>F17</f>
        <v>100</v>
      </c>
      <c r="T17" s="774" t="s">
        <v>21</v>
      </c>
      <c r="U17" s="775">
        <f>H17</f>
        <v>100</v>
      </c>
      <c r="V17" s="774" t="s">
        <v>21</v>
      </c>
      <c r="W17" s="775">
        <f>J17</f>
        <v>100</v>
      </c>
      <c r="X17" s="1813"/>
      <c r="Y17" s="3299"/>
      <c r="Z17" s="1814" t="str">
        <f>Q17</f>
        <v>交通便捷度</v>
      </c>
      <c r="AA17" s="1811">
        <f t="shared" si="3"/>
        <v>1</v>
      </c>
      <c r="AB17" s="1811">
        <f t="shared" si="4"/>
        <v>1</v>
      </c>
      <c r="AC17" s="1811">
        <f t="shared" si="5"/>
        <v>1</v>
      </c>
    </row>
    <row r="18" spans="1:29" ht="15">
      <c r="A18" s="428"/>
      <c r="B18" s="456"/>
      <c r="C18" s="2981" t="s">
        <v>3211</v>
      </c>
      <c r="D18" s="450"/>
      <c r="E18" s="2982" t="s">
        <v>3211</v>
      </c>
      <c r="F18" s="450"/>
      <c r="G18" s="2983" t="s">
        <v>3211</v>
      </c>
      <c r="H18" s="448"/>
      <c r="I18" s="2983" t="s">
        <v>3211</v>
      </c>
      <c r="J18" s="448"/>
      <c r="K18" s="2603"/>
      <c r="L18" s="1140"/>
      <c r="M18" s="1131"/>
      <c r="N18" s="1131"/>
      <c r="O18" s="1131"/>
      <c r="P18" s="3354"/>
      <c r="Q18" s="1810"/>
      <c r="R18" s="774"/>
      <c r="S18" s="775"/>
      <c r="T18" s="774"/>
      <c r="U18" s="775"/>
      <c r="V18" s="774"/>
      <c r="W18" s="775"/>
      <c r="X18" s="1813"/>
      <c r="Y18" s="3299"/>
      <c r="Z18" s="1814"/>
      <c r="AA18" s="1811">
        <v>1</v>
      </c>
      <c r="AB18" s="1811">
        <v>1</v>
      </c>
      <c r="AC18" s="1811">
        <v>1</v>
      </c>
    </row>
    <row r="19" spans="1:29" ht="15">
      <c r="A19" s="428"/>
      <c r="B19" s="451" t="s">
        <v>2087</v>
      </c>
      <c r="C19" s="2604"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54"/>
      <c r="Q19" s="1810" t="str">
        <f>B19</f>
        <v>公共配套设施</v>
      </c>
      <c r="R19" s="774" t="s">
        <v>21</v>
      </c>
      <c r="S19" s="775">
        <f>F19</f>
        <v>100</v>
      </c>
      <c r="T19" s="774" t="s">
        <v>21</v>
      </c>
      <c r="U19" s="775">
        <f>H19</f>
        <v>100</v>
      </c>
      <c r="V19" s="774" t="s">
        <v>21</v>
      </c>
      <c r="W19" s="775">
        <f>J19</f>
        <v>100</v>
      </c>
      <c r="X19" s="1813"/>
      <c r="Y19" s="3299"/>
      <c r="Z19" s="1814" t="str">
        <f>Q19</f>
        <v>公共配套设施</v>
      </c>
      <c r="AA19" s="1811">
        <f t="shared" si="3"/>
        <v>1</v>
      </c>
      <c r="AB19" s="1811">
        <f t="shared" si="4"/>
        <v>1</v>
      </c>
      <c r="AC19" s="1811">
        <f t="shared" si="5"/>
        <v>1</v>
      </c>
    </row>
    <row r="20" spans="1:29" ht="15">
      <c r="A20" s="428"/>
      <c r="B20" s="456"/>
      <c r="C20" s="2967" t="s">
        <v>3211</v>
      </c>
      <c r="D20" s="448"/>
      <c r="E20" s="2969" t="s">
        <v>3211</v>
      </c>
      <c r="F20" s="448"/>
      <c r="G20" s="2968" t="s">
        <v>3211</v>
      </c>
      <c r="H20" s="448"/>
      <c r="I20" s="2968" t="s">
        <v>3211</v>
      </c>
      <c r="J20" s="448"/>
      <c r="K20" s="2603"/>
      <c r="L20" s="1140"/>
      <c r="M20" s="1131"/>
      <c r="N20" s="1131"/>
      <c r="O20" s="1131"/>
      <c r="P20" s="3354"/>
      <c r="Q20" s="1810"/>
      <c r="R20" s="774"/>
      <c r="S20" s="775"/>
      <c r="T20" s="774"/>
      <c r="U20" s="775"/>
      <c r="V20" s="774"/>
      <c r="W20" s="775"/>
      <c r="X20" s="1813"/>
      <c r="Y20" s="3299"/>
      <c r="Z20" s="1814"/>
      <c r="AA20" s="1811">
        <v>1</v>
      </c>
      <c r="AB20" s="1811">
        <v>1</v>
      </c>
      <c r="AC20" s="1811">
        <v>1</v>
      </c>
    </row>
    <row r="21" spans="1:29" ht="15">
      <c r="A21" s="428"/>
      <c r="B21" s="1384" t="s">
        <v>2089</v>
      </c>
      <c r="C21" s="2604"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54"/>
      <c r="Q21" s="1810" t="str">
        <f>B21</f>
        <v>基础设施水平</v>
      </c>
      <c r="R21" s="774" t="s">
        <v>17</v>
      </c>
      <c r="S21" s="775">
        <f>F21</f>
        <v>100</v>
      </c>
      <c r="T21" s="774" t="s">
        <v>17</v>
      </c>
      <c r="U21" s="775">
        <f>H21</f>
        <v>100</v>
      </c>
      <c r="V21" s="774" t="s">
        <v>17</v>
      </c>
      <c r="W21" s="775">
        <f>J21</f>
        <v>100</v>
      </c>
      <c r="X21" s="1813"/>
      <c r="Y21" s="3299"/>
      <c r="Z21" s="1814" t="str">
        <f>Q21</f>
        <v>基础设施水平</v>
      </c>
      <c r="AA21" s="1811">
        <f t="shared" ref="AA21" si="8">D21/F21</f>
        <v>1</v>
      </c>
      <c r="AB21" s="1811">
        <f t="shared" ref="AB21" si="9">D21/H21</f>
        <v>1</v>
      </c>
      <c r="AC21" s="1811">
        <f t="shared" ref="AC21" si="10">D21/J21</f>
        <v>1</v>
      </c>
    </row>
    <row r="22" spans="1:29" ht="15">
      <c r="A22" s="428"/>
      <c r="B22" s="1384"/>
      <c r="C22" s="2981" t="s">
        <v>3212</v>
      </c>
      <c r="D22" s="448"/>
      <c r="E22" s="2967" t="s">
        <v>3214</v>
      </c>
      <c r="F22" s="448"/>
      <c r="G22" s="2971" t="s">
        <v>3212</v>
      </c>
      <c r="H22" s="448"/>
      <c r="I22" s="2967" t="s">
        <v>3212</v>
      </c>
      <c r="J22" s="448"/>
      <c r="K22" s="2609"/>
      <c r="L22" s="1140"/>
      <c r="M22" s="1131"/>
      <c r="N22" s="1131"/>
      <c r="O22" s="1131"/>
      <c r="P22" s="3354"/>
      <c r="Q22" s="1810"/>
      <c r="R22" s="774"/>
      <c r="S22" s="775"/>
      <c r="T22" s="774"/>
      <c r="U22" s="775"/>
      <c r="V22" s="774"/>
      <c r="W22" s="775"/>
      <c r="X22" s="1813"/>
      <c r="Y22" s="3299"/>
      <c r="Z22" s="1814"/>
      <c r="AA22" s="1811">
        <v>1</v>
      </c>
      <c r="AB22" s="1811">
        <v>1</v>
      </c>
      <c r="AC22" s="1811">
        <v>1</v>
      </c>
    </row>
    <row r="23" spans="1:29" ht="15">
      <c r="A23" s="428"/>
      <c r="B23" s="451" t="s">
        <v>2091</v>
      </c>
      <c r="C23" s="2604" t="str">
        <f>估价对象房地状况!C9</f>
        <v>一般</v>
      </c>
      <c r="D23" s="450">
        <v>100</v>
      </c>
      <c r="E23" s="454"/>
      <c r="F23" s="450">
        <f>SUMIF(84:84,E24,85:85)-SUMIF(84:84,C24,85:85)+100</f>
        <v>102</v>
      </c>
      <c r="G23" s="452"/>
      <c r="H23" s="450">
        <f>SUMIF(84:84,G24,85:85)-SUMIF(84:84,C24,85:85)+100</f>
        <v>102</v>
      </c>
      <c r="I23" s="452"/>
      <c r="J23" s="450">
        <f>SUMIF(84:84,I24,85:85)-SUMIF(84:84,C24,85:85)+100</f>
        <v>100</v>
      </c>
      <c r="K23" s="445">
        <v>2</v>
      </c>
      <c r="L23" s="1140"/>
      <c r="M23" s="1131"/>
      <c r="N23" s="1131"/>
      <c r="O23" s="1131"/>
      <c r="P23" s="3354"/>
      <c r="Q23" s="1810" t="str">
        <f>B23</f>
        <v>自然及人文环境</v>
      </c>
      <c r="R23" s="774" t="s">
        <v>21</v>
      </c>
      <c r="S23" s="775">
        <f>F23</f>
        <v>102</v>
      </c>
      <c r="T23" s="774" t="s">
        <v>21</v>
      </c>
      <c r="U23" s="775">
        <f>H23</f>
        <v>102</v>
      </c>
      <c r="V23" s="774" t="s">
        <v>21</v>
      </c>
      <c r="W23" s="775">
        <f>J23</f>
        <v>100</v>
      </c>
      <c r="X23" s="1813"/>
      <c r="Y23" s="3299"/>
      <c r="Z23" s="1814" t="str">
        <f>Q23</f>
        <v>自然及人文环境</v>
      </c>
      <c r="AA23" s="1811">
        <f>D23/F23</f>
        <v>0.98039215686274506</v>
      </c>
      <c r="AB23" s="1811">
        <f>D23/H23</f>
        <v>0.98039215686274506</v>
      </c>
      <c r="AC23" s="1811">
        <f>D23/J23</f>
        <v>1</v>
      </c>
    </row>
    <row r="24" spans="1:29" ht="15.6" thickBot="1">
      <c r="A24" s="428"/>
      <c r="B24" s="456"/>
      <c r="C24" s="2967" t="s">
        <v>3211</v>
      </c>
      <c r="D24" s="448"/>
      <c r="E24" s="2969" t="s">
        <v>3238</v>
      </c>
      <c r="F24" s="448"/>
      <c r="G24" s="2968" t="s">
        <v>3238</v>
      </c>
      <c r="H24" s="448"/>
      <c r="I24" s="2968" t="s">
        <v>3211</v>
      </c>
      <c r="J24" s="448"/>
      <c r="K24" s="2603"/>
      <c r="L24" s="1140"/>
      <c r="M24" s="1131"/>
      <c r="N24" s="1131"/>
      <c r="O24" s="1131"/>
      <c r="P24" s="3354"/>
      <c r="Q24" s="1810"/>
      <c r="R24" s="774"/>
      <c r="S24" s="775"/>
      <c r="T24" s="774"/>
      <c r="U24" s="775"/>
      <c r="V24" s="774"/>
      <c r="W24" s="775"/>
      <c r="X24" s="1813"/>
      <c r="Y24" s="3299"/>
      <c r="Z24" s="1814"/>
      <c r="AA24" s="1811">
        <v>1</v>
      </c>
      <c r="AB24" s="1811">
        <v>1</v>
      </c>
      <c r="AC24" s="1811">
        <v>1</v>
      </c>
    </row>
    <row r="25" spans="1:29" ht="15" hidden="1">
      <c r="A25" s="428"/>
      <c r="B25" s="422" t="s">
        <v>2547</v>
      </c>
      <c r="C25" s="460"/>
      <c r="D25" s="435">
        <v>100</v>
      </c>
      <c r="E25" s="2610"/>
      <c r="F25" s="435">
        <f>SUMIF(86:86,E25,87:87)-SUMIF(86:86,C25,87:87)+100</f>
        <v>100</v>
      </c>
      <c r="G25" s="2611"/>
      <c r="H25" s="435">
        <f>SUMIF(86:86,G25,87:87)-SUMIF(86:86,C25,87:87)+100</f>
        <v>100</v>
      </c>
      <c r="I25" s="2611"/>
      <c r="J25" s="435">
        <f>SUMIF(86:86,I25,87:87)-SUMIF(86:86,C25,87:87)+100</f>
        <v>100</v>
      </c>
      <c r="K25" s="426">
        <v>2</v>
      </c>
      <c r="L25" s="1140"/>
      <c r="M25" s="1131"/>
      <c r="N25" s="1131"/>
      <c r="O25" s="1131"/>
      <c r="P25" s="335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99"/>
      <c r="Z25" s="1814" t="str">
        <f>Q25</f>
        <v>楼层-1</v>
      </c>
      <c r="AA25" s="1811">
        <f t="shared" ref="AA25:AA46" si="15">D25/F25</f>
        <v>1</v>
      </c>
      <c r="AB25" s="1811">
        <f t="shared" ref="AB25:AB46" si="16">D25/H25</f>
        <v>1</v>
      </c>
      <c r="AC25" s="1811">
        <f t="shared" ref="AC25:AC46" si="17">D25/J25</f>
        <v>1</v>
      </c>
    </row>
    <row r="26" spans="1:29" ht="15" hidden="1">
      <c r="A26" s="428"/>
      <c r="B26" s="422" t="s">
        <v>2548</v>
      </c>
      <c r="C26" s="460"/>
      <c r="D26" s="435">
        <v>100</v>
      </c>
      <c r="E26" s="2610"/>
      <c r="F26" s="435">
        <f>SUMIF(88:88,E26,89:89)-SUMIF(88:88,C26,89:89)+100</f>
        <v>100</v>
      </c>
      <c r="G26" s="2611"/>
      <c r="H26" s="435">
        <f>SUMIF(88:88,G26,89:89)-SUMIF(88:88,C26,89:89)+100</f>
        <v>100</v>
      </c>
      <c r="I26" s="2611"/>
      <c r="J26" s="435">
        <f>SUMIF(88:88,I26,89:89)-SUMIF(88:88,C26,89:89)+100</f>
        <v>100</v>
      </c>
      <c r="K26" s="426">
        <v>2</v>
      </c>
      <c r="L26" s="1140"/>
      <c r="M26" s="1131"/>
      <c r="N26" s="1131"/>
      <c r="O26" s="1131"/>
      <c r="P26" s="3354"/>
      <c r="Q26" s="1810" t="str">
        <f t="shared" si="11"/>
        <v>朝向</v>
      </c>
      <c r="R26" s="774" t="s">
        <v>21</v>
      </c>
      <c r="S26" s="775">
        <f t="shared" si="12"/>
        <v>100</v>
      </c>
      <c r="T26" s="774" t="s">
        <v>21</v>
      </c>
      <c r="U26" s="775">
        <f t="shared" si="13"/>
        <v>100</v>
      </c>
      <c r="V26" s="774" t="s">
        <v>21</v>
      </c>
      <c r="W26" s="775">
        <f t="shared" si="14"/>
        <v>100</v>
      </c>
      <c r="X26" s="1813"/>
      <c r="Y26" s="3299"/>
      <c r="Z26" s="1814" t="str">
        <f>Q26</f>
        <v>朝向</v>
      </c>
      <c r="AA26" s="1811">
        <f t="shared" si="15"/>
        <v>1</v>
      </c>
      <c r="AB26" s="1811">
        <f t="shared" si="16"/>
        <v>1</v>
      </c>
      <c r="AC26" s="1811">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354"/>
      <c r="Q27" s="1795">
        <f t="shared" si="11"/>
        <v>111</v>
      </c>
      <c r="R27" s="770" t="s">
        <v>21</v>
      </c>
      <c r="S27" s="771">
        <f t="shared" si="12"/>
        <v>100</v>
      </c>
      <c r="T27" s="770" t="s">
        <v>21</v>
      </c>
      <c r="U27" s="771">
        <f t="shared" si="13"/>
        <v>100</v>
      </c>
      <c r="V27" s="770" t="s">
        <v>21</v>
      </c>
      <c r="W27" s="771">
        <f t="shared" si="14"/>
        <v>100</v>
      </c>
      <c r="X27" s="772"/>
      <c r="Y27" s="3299"/>
      <c r="Z27" s="55">
        <f>Q27</f>
        <v>111</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354"/>
      <c r="Q28" s="1810">
        <f t="shared" si="11"/>
        <v>111</v>
      </c>
      <c r="R28" s="774" t="s">
        <v>21</v>
      </c>
      <c r="S28" s="775">
        <f t="shared" si="12"/>
        <v>100</v>
      </c>
      <c r="T28" s="774" t="s">
        <v>21</v>
      </c>
      <c r="U28" s="775">
        <f t="shared" si="13"/>
        <v>100</v>
      </c>
      <c r="V28" s="774" t="s">
        <v>21</v>
      </c>
      <c r="W28" s="775">
        <f t="shared" si="14"/>
        <v>100</v>
      </c>
      <c r="X28" s="1813"/>
      <c r="Y28" s="3299"/>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354"/>
      <c r="Q29" s="1810">
        <f t="shared" si="11"/>
        <v>111</v>
      </c>
      <c r="R29" s="774" t="s">
        <v>21</v>
      </c>
      <c r="S29" s="775">
        <f t="shared" si="12"/>
        <v>100</v>
      </c>
      <c r="T29" s="774" t="s">
        <v>21</v>
      </c>
      <c r="U29" s="775">
        <f t="shared" si="13"/>
        <v>100</v>
      </c>
      <c r="V29" s="774" t="s">
        <v>21</v>
      </c>
      <c r="W29" s="775">
        <f t="shared" si="14"/>
        <v>100</v>
      </c>
      <c r="X29" s="1813"/>
      <c r="Y29" s="3299"/>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354"/>
      <c r="Q30" s="1810">
        <f t="shared" si="11"/>
        <v>111</v>
      </c>
      <c r="R30" s="774" t="s">
        <v>21</v>
      </c>
      <c r="S30" s="775">
        <f t="shared" si="12"/>
        <v>100</v>
      </c>
      <c r="T30" s="774" t="s">
        <v>21</v>
      </c>
      <c r="U30" s="775">
        <f t="shared" si="13"/>
        <v>100</v>
      </c>
      <c r="V30" s="774" t="s">
        <v>21</v>
      </c>
      <c r="W30" s="775">
        <f t="shared" si="14"/>
        <v>100</v>
      </c>
      <c r="X30" s="1813"/>
      <c r="Y30" s="3299"/>
      <c r="Z30" s="1814">
        <f t="shared" si="18"/>
        <v>111</v>
      </c>
      <c r="AA30" s="1811">
        <f t="shared" si="15"/>
        <v>1</v>
      </c>
      <c r="AB30" s="1811">
        <f t="shared" si="16"/>
        <v>1</v>
      </c>
      <c r="AC30" s="1811">
        <f t="shared" si="17"/>
        <v>1</v>
      </c>
    </row>
    <row r="31" spans="1:29" ht="15.6" hidden="1"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354"/>
      <c r="Q31" s="1810">
        <f t="shared" si="11"/>
        <v>111</v>
      </c>
      <c r="R31" s="774" t="s">
        <v>21</v>
      </c>
      <c r="S31" s="775">
        <f t="shared" si="12"/>
        <v>100</v>
      </c>
      <c r="T31" s="774" t="s">
        <v>21</v>
      </c>
      <c r="U31" s="775">
        <f t="shared" si="13"/>
        <v>100</v>
      </c>
      <c r="V31" s="774" t="s">
        <v>21</v>
      </c>
      <c r="W31" s="775">
        <f t="shared" si="14"/>
        <v>100</v>
      </c>
      <c r="X31" s="1813"/>
      <c r="Y31" s="3299"/>
      <c r="Z31" s="1814">
        <f t="shared" si="18"/>
        <v>111</v>
      </c>
      <c r="AA31" s="1811">
        <f t="shared" si="15"/>
        <v>1</v>
      </c>
      <c r="AB31" s="1811">
        <f t="shared" si="16"/>
        <v>1</v>
      </c>
      <c r="AC31" s="1811">
        <f t="shared" si="17"/>
        <v>1</v>
      </c>
    </row>
    <row r="32" spans="1:29" ht="15">
      <c r="A32" s="440" t="s">
        <v>2549</v>
      </c>
      <c r="B32" s="71" t="s">
        <v>2550</v>
      </c>
      <c r="C32" s="2984" t="s">
        <v>3215</v>
      </c>
      <c r="D32" s="467">
        <v>100</v>
      </c>
      <c r="E32" s="2985" t="s">
        <v>3215</v>
      </c>
      <c r="F32" s="461">
        <f>SUMIF(100:100,E32,101:101)-SUMIF(100:100,C32,101:101)+100</f>
        <v>100</v>
      </c>
      <c r="G32" s="2984" t="s">
        <v>3215</v>
      </c>
      <c r="H32" s="467">
        <f>SUMIF(100:100,G32,101:101)-SUMIF(100:100,C32,101:101)+100</f>
        <v>100</v>
      </c>
      <c r="I32" s="2985" t="s">
        <v>3215</v>
      </c>
      <c r="J32" s="435">
        <f>SUMIF(100:100,I32,101:101)-SUMIF(100:100,C32,101:101)+100</f>
        <v>100</v>
      </c>
      <c r="K32" s="426">
        <v>3</v>
      </c>
      <c r="L32" s="1140"/>
      <c r="M32" s="1131"/>
      <c r="N32" s="1131"/>
      <c r="O32" s="1131"/>
      <c r="P32" s="3349" t="s">
        <v>2551</v>
      </c>
      <c r="Q32" s="1810" t="str">
        <f t="shared" si="11"/>
        <v>建筑类型</v>
      </c>
      <c r="R32" s="774" t="s">
        <v>21</v>
      </c>
      <c r="S32" s="775">
        <f t="shared" si="12"/>
        <v>100</v>
      </c>
      <c r="T32" s="774" t="s">
        <v>21</v>
      </c>
      <c r="U32" s="775">
        <f t="shared" si="13"/>
        <v>100</v>
      </c>
      <c r="V32" s="774" t="s">
        <v>21</v>
      </c>
      <c r="W32" s="775">
        <f t="shared" si="14"/>
        <v>100</v>
      </c>
      <c r="X32" s="1813"/>
      <c r="Y32" s="3301" t="s">
        <v>2551</v>
      </c>
      <c r="Z32" s="1814" t="str">
        <f t="shared" si="18"/>
        <v>建筑类型</v>
      </c>
      <c r="AA32" s="1811">
        <f t="shared" si="15"/>
        <v>1</v>
      </c>
      <c r="AB32" s="1811">
        <f t="shared" si="16"/>
        <v>1</v>
      </c>
      <c r="AC32" s="1811">
        <f t="shared" si="17"/>
        <v>1</v>
      </c>
    </row>
    <row r="33" spans="1:29" s="471" customFormat="1" ht="15">
      <c r="A33" s="468"/>
      <c r="B33" s="422" t="s">
        <v>2552</v>
      </c>
      <c r="C33" s="469">
        <f>权属!B17</f>
        <v>188777.66</v>
      </c>
      <c r="D33" s="136">
        <v>100</v>
      </c>
      <c r="E33" s="430">
        <v>396918.73</v>
      </c>
      <c r="F33" s="425">
        <f>LOOKUP(E33,103:103,104:104)-LOOKUP(C33,103:103,104:104)+100</f>
        <v>102</v>
      </c>
      <c r="G33" s="429">
        <v>350000</v>
      </c>
      <c r="H33" s="136">
        <f>LOOKUP(G33,103:103,104:104)-LOOKUP(C33,103:103,104:104)+100</f>
        <v>102</v>
      </c>
      <c r="I33" s="430">
        <v>157000</v>
      </c>
      <c r="J33" s="136">
        <f>LOOKUP(I33,103:103,104:104)-LOOKUP(C33,103:103,104:104)+100</f>
        <v>100</v>
      </c>
      <c r="K33" s="2598"/>
      <c r="L33" s="1138"/>
      <c r="M33" s="1141"/>
      <c r="N33" s="1141"/>
      <c r="O33" s="1141"/>
      <c r="P33" s="3350"/>
      <c r="Q33" s="776" t="str">
        <f t="shared" si="11"/>
        <v>项目建筑规模</v>
      </c>
      <c r="R33" s="777" t="s">
        <v>21</v>
      </c>
      <c r="S33" s="778">
        <f t="shared" si="12"/>
        <v>102</v>
      </c>
      <c r="T33" s="777" t="s">
        <v>21</v>
      </c>
      <c r="U33" s="778">
        <f t="shared" si="13"/>
        <v>102</v>
      </c>
      <c r="V33" s="777" t="s">
        <v>21</v>
      </c>
      <c r="W33" s="778">
        <f t="shared" si="14"/>
        <v>100</v>
      </c>
      <c r="X33" s="779"/>
      <c r="Y33" s="3301"/>
      <c r="Z33" s="780" t="str">
        <f t="shared" si="18"/>
        <v>项目建筑规模</v>
      </c>
      <c r="AA33" s="1811">
        <f t="shared" si="15"/>
        <v>0.98039215686274506</v>
      </c>
      <c r="AB33" s="1811">
        <f t="shared" si="16"/>
        <v>0.98039215686274506</v>
      </c>
      <c r="AC33" s="1811">
        <f t="shared" si="17"/>
        <v>1</v>
      </c>
    </row>
    <row r="34" spans="1:29" ht="15">
      <c r="A34" s="472"/>
      <c r="B34" s="422" t="s">
        <v>2553</v>
      </c>
      <c r="C34" s="2986" t="s">
        <v>3216</v>
      </c>
      <c r="D34" s="435">
        <v>100</v>
      </c>
      <c r="E34" s="2987" t="s">
        <v>3216</v>
      </c>
      <c r="F34" s="461">
        <f>SUMIF(105:105,E34,106:106)-SUMIF(105:105,C34,106:106)+100</f>
        <v>100</v>
      </c>
      <c r="G34" s="2986" t="s">
        <v>3216</v>
      </c>
      <c r="H34" s="435">
        <f>SUMIF(105:105,G34,106:106)-SUMIF(105:105,C34,106:106)+100</f>
        <v>100</v>
      </c>
      <c r="I34" s="2987" t="s">
        <v>3232</v>
      </c>
      <c r="J34" s="435">
        <f>SUMIF(105:105,I34,106:106)-SUMIF(105:105,C34,106:106)+100</f>
        <v>100</v>
      </c>
      <c r="K34" s="426">
        <v>2</v>
      </c>
      <c r="L34" s="1140"/>
      <c r="M34" s="1131"/>
      <c r="N34" s="1131"/>
      <c r="O34" s="1131"/>
      <c r="P34" s="3350"/>
      <c r="Q34" s="1810" t="str">
        <f t="shared" si="11"/>
        <v>建筑结构</v>
      </c>
      <c r="R34" s="774" t="s">
        <v>21</v>
      </c>
      <c r="S34" s="775">
        <f t="shared" si="12"/>
        <v>100</v>
      </c>
      <c r="T34" s="774" t="s">
        <v>21</v>
      </c>
      <c r="U34" s="775">
        <f t="shared" si="13"/>
        <v>100</v>
      </c>
      <c r="V34" s="774" t="s">
        <v>21</v>
      </c>
      <c r="W34" s="775">
        <f t="shared" si="14"/>
        <v>100</v>
      </c>
      <c r="X34" s="1813"/>
      <c r="Y34" s="3301"/>
      <c r="Z34" s="1814" t="str">
        <f t="shared" si="18"/>
        <v>建筑结构</v>
      </c>
      <c r="AA34" s="1811">
        <f t="shared" si="15"/>
        <v>1</v>
      </c>
      <c r="AB34" s="1811">
        <f t="shared" si="16"/>
        <v>1</v>
      </c>
      <c r="AC34" s="1811">
        <f t="shared" si="17"/>
        <v>1</v>
      </c>
    </row>
    <row r="35" spans="1:29" ht="15">
      <c r="A35" s="472"/>
      <c r="B35" s="422" t="s">
        <v>2554</v>
      </c>
      <c r="C35" s="2610" t="s">
        <v>3307</v>
      </c>
      <c r="D35" s="435">
        <v>100</v>
      </c>
      <c r="E35" s="2611" t="s">
        <v>3305</v>
      </c>
      <c r="F35" s="461">
        <f>SUMIF(107:107,E35,108:108)-SUMIF(107:107,C35,108:108)+100</f>
        <v>103</v>
      </c>
      <c r="G35" s="2610" t="s">
        <v>3307</v>
      </c>
      <c r="H35" s="435">
        <f>SUMIF(107:107,G35,108:108)-SUMIF(107:107,C35,108:108)+100</f>
        <v>100</v>
      </c>
      <c r="I35" s="2611" t="s">
        <v>3307</v>
      </c>
      <c r="J35" s="435">
        <f>SUMIF(107:107,I35,108:108)-SUMIF(107:107,C35,108:108)+100</f>
        <v>100</v>
      </c>
      <c r="K35" s="426">
        <v>3</v>
      </c>
      <c r="L35" s="1140"/>
      <c r="M35" s="1131"/>
      <c r="N35" s="1131"/>
      <c r="O35" s="1131"/>
      <c r="P35" s="3350"/>
      <c r="Q35" s="1810" t="str">
        <f t="shared" si="11"/>
        <v>建筑品质</v>
      </c>
      <c r="R35" s="774" t="s">
        <v>21</v>
      </c>
      <c r="S35" s="775">
        <f t="shared" si="12"/>
        <v>103</v>
      </c>
      <c r="T35" s="774" t="s">
        <v>21</v>
      </c>
      <c r="U35" s="775">
        <f t="shared" si="13"/>
        <v>100</v>
      </c>
      <c r="V35" s="774" t="s">
        <v>21</v>
      </c>
      <c r="W35" s="775">
        <f t="shared" si="14"/>
        <v>100</v>
      </c>
      <c r="X35" s="1813"/>
      <c r="Y35" s="3301"/>
      <c r="Z35" s="1814" t="str">
        <f t="shared" si="18"/>
        <v>建筑品质</v>
      </c>
      <c r="AA35" s="1811">
        <f t="shared" si="15"/>
        <v>0.970873786407767</v>
      </c>
      <c r="AB35" s="1811">
        <f t="shared" si="16"/>
        <v>1</v>
      </c>
      <c r="AC35" s="1811">
        <f t="shared" si="17"/>
        <v>1</v>
      </c>
    </row>
    <row r="36" spans="1:29" ht="15">
      <c r="A36" s="472"/>
      <c r="B36" s="422" t="s">
        <v>2555</v>
      </c>
      <c r="C36" s="2988" t="s">
        <v>3217</v>
      </c>
      <c r="D36" s="435">
        <v>100</v>
      </c>
      <c r="E36" s="2989" t="s">
        <v>3217</v>
      </c>
      <c r="F36" s="461">
        <f>SUMIF(109:109,E36,110:110)-SUMIF(109:109,C36,110:110)+100</f>
        <v>100</v>
      </c>
      <c r="G36" s="2988" t="s">
        <v>3217</v>
      </c>
      <c r="H36" s="435">
        <f>SUMIF(109:109,G36,110:110)-SUMIF(109:109,C36,110:110)+100</f>
        <v>100</v>
      </c>
      <c r="I36" s="2989" t="s">
        <v>3217</v>
      </c>
      <c r="J36" s="435">
        <f>SUMIF(109:109,I36,110:110)-SUMIF(109:109,C36,110:110)+100</f>
        <v>100</v>
      </c>
      <c r="K36" s="426">
        <v>2</v>
      </c>
      <c r="L36" s="1140"/>
      <c r="M36" s="1131"/>
      <c r="N36" s="1131"/>
      <c r="O36" s="1131"/>
      <c r="P36" s="3350"/>
      <c r="Q36" s="1810" t="str">
        <f t="shared" si="11"/>
        <v>公共部分装修</v>
      </c>
      <c r="R36" s="774" t="s">
        <v>21</v>
      </c>
      <c r="S36" s="775">
        <f t="shared" si="12"/>
        <v>100</v>
      </c>
      <c r="T36" s="774" t="s">
        <v>21</v>
      </c>
      <c r="U36" s="775">
        <f t="shared" si="13"/>
        <v>100</v>
      </c>
      <c r="V36" s="774" t="s">
        <v>21</v>
      </c>
      <c r="W36" s="775">
        <f t="shared" si="14"/>
        <v>100</v>
      </c>
      <c r="X36" s="1813"/>
      <c r="Y36" s="3301"/>
      <c r="Z36" s="1814" t="str">
        <f t="shared" si="18"/>
        <v>公共部分装修</v>
      </c>
      <c r="AA36" s="1811">
        <f t="shared" si="15"/>
        <v>1</v>
      </c>
      <c r="AB36" s="1811">
        <f t="shared" si="16"/>
        <v>1</v>
      </c>
      <c r="AC36" s="1811">
        <f t="shared" si="17"/>
        <v>1</v>
      </c>
    </row>
    <row r="37" spans="1:29" s="117" customFormat="1" ht="15">
      <c r="A37" s="473"/>
      <c r="B37" s="422" t="s">
        <v>2556</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2"/>
      <c r="M37" s="1133"/>
      <c r="N37" s="1133"/>
      <c r="O37" s="1133"/>
      <c r="P37" s="3350"/>
      <c r="Q37" s="1795" t="str">
        <f t="shared" si="11"/>
        <v>成新度</v>
      </c>
      <c r="R37" s="770" t="s">
        <v>21</v>
      </c>
      <c r="S37" s="771">
        <f t="shared" si="12"/>
        <v>100</v>
      </c>
      <c r="T37" s="770" t="s">
        <v>21</v>
      </c>
      <c r="U37" s="771">
        <f t="shared" si="13"/>
        <v>100</v>
      </c>
      <c r="V37" s="770" t="s">
        <v>21</v>
      </c>
      <c r="W37" s="771">
        <f t="shared" si="14"/>
        <v>100</v>
      </c>
      <c r="X37" s="772"/>
      <c r="Y37" s="3301"/>
      <c r="Z37" s="55" t="str">
        <f t="shared" si="18"/>
        <v>成新度</v>
      </c>
      <c r="AA37" s="773">
        <f t="shared" si="15"/>
        <v>1</v>
      </c>
      <c r="AB37" s="773">
        <f t="shared" si="16"/>
        <v>1</v>
      </c>
      <c r="AC37" s="773">
        <f t="shared" si="17"/>
        <v>1</v>
      </c>
    </row>
    <row r="38" spans="1:29" ht="15">
      <c r="A38" s="472"/>
      <c r="B38" s="422" t="s">
        <v>2557</v>
      </c>
      <c r="C38" s="2988" t="s">
        <v>3218</v>
      </c>
      <c r="D38" s="435">
        <v>100</v>
      </c>
      <c r="E38" s="2989" t="s">
        <v>3218</v>
      </c>
      <c r="F38" s="461">
        <f>SUMIF(114:114,E38,115:115)-SUMIF(114:114,C38,115:115)+100</f>
        <v>100</v>
      </c>
      <c r="G38" s="2988" t="s">
        <v>3218</v>
      </c>
      <c r="H38" s="435">
        <f>SUMIF(114:114,G38,115:115)-SUMIF(114:114,C38,115:115)+100</f>
        <v>100</v>
      </c>
      <c r="I38" s="2989" t="s">
        <v>3218</v>
      </c>
      <c r="J38" s="435">
        <f>SUMIF(114:114,I38,115:115)-SUMIF(114:114,C38,115:115)+100</f>
        <v>100</v>
      </c>
      <c r="K38" s="426">
        <v>2</v>
      </c>
      <c r="L38" s="1140"/>
      <c r="M38" s="1131"/>
      <c r="N38" s="1131"/>
      <c r="O38" s="1131"/>
      <c r="P38" s="3350" t="s">
        <v>2551</v>
      </c>
      <c r="Q38" s="1810" t="str">
        <f t="shared" si="11"/>
        <v>物业管理</v>
      </c>
      <c r="R38" s="774" t="s">
        <v>21</v>
      </c>
      <c r="S38" s="775">
        <f t="shared" si="12"/>
        <v>100</v>
      </c>
      <c r="T38" s="774" t="s">
        <v>21</v>
      </c>
      <c r="U38" s="775">
        <f t="shared" si="13"/>
        <v>100</v>
      </c>
      <c r="V38" s="774" t="s">
        <v>21</v>
      </c>
      <c r="W38" s="775">
        <f t="shared" si="14"/>
        <v>100</v>
      </c>
      <c r="X38" s="1813"/>
      <c r="Y38" s="3301" t="s">
        <v>2551</v>
      </c>
      <c r="Z38" s="1814" t="str">
        <f t="shared" si="18"/>
        <v>物业管理</v>
      </c>
      <c r="AA38" s="1811">
        <f t="shared" si="15"/>
        <v>1</v>
      </c>
      <c r="AB38" s="1811">
        <f t="shared" si="16"/>
        <v>1</v>
      </c>
      <c r="AC38" s="1811">
        <f t="shared" si="17"/>
        <v>1</v>
      </c>
    </row>
    <row r="39" spans="1:29" ht="15">
      <c r="A39" s="472"/>
      <c r="B39" s="422" t="s">
        <v>2558</v>
      </c>
      <c r="C39" s="2988" t="s">
        <v>3212</v>
      </c>
      <c r="D39" s="435">
        <v>100</v>
      </c>
      <c r="E39" s="2989" t="s">
        <v>3212</v>
      </c>
      <c r="F39" s="461">
        <f>SUMIF(116:116,E39,117:117)-SUMIF(116:116,C39,117:117)+100</f>
        <v>100</v>
      </c>
      <c r="G39" s="2988" t="s">
        <v>3212</v>
      </c>
      <c r="H39" s="435">
        <f>SUMIF(116:116,G39,117:117)-SUMIF(116:116,C39,117:117)+100</f>
        <v>100</v>
      </c>
      <c r="I39" s="2989" t="s">
        <v>3212</v>
      </c>
      <c r="J39" s="435">
        <f>SUMIF(116:116,I39,117:117)-SUMIF(116:116,C39,117:117)+100</f>
        <v>100</v>
      </c>
      <c r="K39" s="426">
        <v>2</v>
      </c>
      <c r="L39" s="1140"/>
      <c r="M39" s="1131"/>
      <c r="N39" s="1131"/>
      <c r="O39" s="1131"/>
      <c r="P39" s="3350"/>
      <c r="Q39" s="1810" t="str">
        <f t="shared" si="11"/>
        <v>市政基础设施</v>
      </c>
      <c r="R39" s="774" t="s">
        <v>21</v>
      </c>
      <c r="S39" s="775">
        <f t="shared" si="12"/>
        <v>100</v>
      </c>
      <c r="T39" s="774" t="s">
        <v>21</v>
      </c>
      <c r="U39" s="775">
        <f t="shared" si="13"/>
        <v>100</v>
      </c>
      <c r="V39" s="774" t="s">
        <v>21</v>
      </c>
      <c r="W39" s="775">
        <f t="shared" si="14"/>
        <v>100</v>
      </c>
      <c r="X39" s="1813"/>
      <c r="Y39" s="3301"/>
      <c r="Z39" s="1814" t="str">
        <f t="shared" si="18"/>
        <v>市政基础设施</v>
      </c>
      <c r="AA39" s="1811">
        <f t="shared" si="15"/>
        <v>1</v>
      </c>
      <c r="AB39" s="1811">
        <f t="shared" si="16"/>
        <v>1</v>
      </c>
      <c r="AC39" s="1811">
        <f t="shared" si="17"/>
        <v>1</v>
      </c>
    </row>
    <row r="40" spans="1:29" ht="15" hidden="1">
      <c r="A40" s="472"/>
      <c r="B40" s="422" t="s">
        <v>2559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350"/>
      <c r="Q40" s="1810" t="str">
        <f t="shared" si="11"/>
        <v>房型</v>
      </c>
      <c r="R40" s="774" t="s">
        <v>21</v>
      </c>
      <c r="S40" s="775">
        <f t="shared" si="12"/>
        <v>100</v>
      </c>
      <c r="T40" s="774" t="s">
        <v>21</v>
      </c>
      <c r="U40" s="775">
        <f t="shared" si="13"/>
        <v>100</v>
      </c>
      <c r="V40" s="774" t="s">
        <v>21</v>
      </c>
      <c r="W40" s="775">
        <f t="shared" si="14"/>
        <v>100</v>
      </c>
      <c r="X40" s="1813"/>
      <c r="Y40" s="3301"/>
      <c r="Z40" s="1814" t="str">
        <f t="shared" si="18"/>
        <v>房型</v>
      </c>
      <c r="AA40" s="1811">
        <f t="shared" si="15"/>
        <v>1</v>
      </c>
      <c r="AB40" s="1811">
        <f t="shared" si="16"/>
        <v>1</v>
      </c>
      <c r="AC40" s="1811">
        <f t="shared" si="17"/>
        <v>1</v>
      </c>
    </row>
    <row r="41" spans="1:29" s="471" customFormat="1" ht="28.8" hidden="1">
      <c r="A41" s="468"/>
      <c r="B41" s="422" t="s">
        <v>2560</v>
      </c>
      <c r="C41" s="3028"/>
      <c r="D41" s="136">
        <v>100</v>
      </c>
      <c r="E41" s="3029"/>
      <c r="F41" s="425">
        <f>SUMIF(120:120,E41,121:121)-SUMIF(120:120,C41,121:121)+100</f>
        <v>100</v>
      </c>
      <c r="G41" s="3030"/>
      <c r="H41" s="136">
        <f>SUMIF(120:120,G41,121:121)-SUMIF(120:120,C41,121:121)+100</f>
        <v>100</v>
      </c>
      <c r="I41" s="3031"/>
      <c r="J41" s="435">
        <f>SUMIF(120:120,I41,121:121)-SUMIF(120:120,C41,121:121)+100</f>
        <v>100</v>
      </c>
      <c r="K41" s="2598"/>
      <c r="L41" s="1138"/>
      <c r="M41" s="1141"/>
      <c r="N41" s="1141"/>
      <c r="O41" s="1141"/>
      <c r="P41" s="3350"/>
      <c r="Q41" s="776" t="str">
        <f t="shared" si="11"/>
        <v>单套/主力户型建筑面积</v>
      </c>
      <c r="R41" s="777" t="s">
        <v>21</v>
      </c>
      <c r="S41" s="778">
        <f t="shared" si="12"/>
        <v>100</v>
      </c>
      <c r="T41" s="777" t="s">
        <v>21</v>
      </c>
      <c r="U41" s="778">
        <f t="shared" si="13"/>
        <v>100</v>
      </c>
      <c r="V41" s="777" t="s">
        <v>21</v>
      </c>
      <c r="W41" s="778">
        <f t="shared" si="14"/>
        <v>100</v>
      </c>
      <c r="X41" s="779"/>
      <c r="Y41" s="3301"/>
      <c r="Z41" s="780" t="str">
        <f t="shared" si="18"/>
        <v>单套/主力户型建筑面积</v>
      </c>
      <c r="AA41" s="1811">
        <f t="shared" si="15"/>
        <v>1</v>
      </c>
      <c r="AB41" s="1811">
        <f t="shared" si="16"/>
        <v>1</v>
      </c>
      <c r="AC41" s="1811">
        <f t="shared" si="17"/>
        <v>1</v>
      </c>
    </row>
    <row r="42" spans="1:29" ht="15.6" thickBot="1">
      <c r="A42" s="472"/>
      <c r="B42" s="422" t="s">
        <v>2561</v>
      </c>
      <c r="C42" s="2988" t="s">
        <v>3217</v>
      </c>
      <c r="D42" s="435">
        <v>100</v>
      </c>
      <c r="E42" s="2989" t="s">
        <v>3217</v>
      </c>
      <c r="F42" s="461">
        <f>SUMIF(122:122,E42,123:123)-SUMIF(122:122,C42,123:123)+100</f>
        <v>100</v>
      </c>
      <c r="G42" s="2988" t="s">
        <v>3217</v>
      </c>
      <c r="H42" s="435">
        <f>SUMIF(122:122,G42,123:123)-SUMIF(122:122,C42,123:123)+100</f>
        <v>100</v>
      </c>
      <c r="I42" s="2989" t="s">
        <v>3217</v>
      </c>
      <c r="J42" s="435">
        <f>SUMIF(122:122,I42,123:123)-SUMIF(122:122,C42,123:123)+100</f>
        <v>100</v>
      </c>
      <c r="K42" s="426"/>
      <c r="L42" s="1140"/>
      <c r="M42" s="1131"/>
      <c r="N42" s="1131"/>
      <c r="O42" s="1131"/>
      <c r="P42" s="3350"/>
      <c r="Q42" s="1810" t="str">
        <f t="shared" si="11"/>
        <v>内部装修</v>
      </c>
      <c r="R42" s="774" t="s">
        <v>21</v>
      </c>
      <c r="S42" s="775">
        <f t="shared" si="12"/>
        <v>100</v>
      </c>
      <c r="T42" s="774" t="s">
        <v>21</v>
      </c>
      <c r="U42" s="775">
        <f t="shared" si="13"/>
        <v>100</v>
      </c>
      <c r="V42" s="774" t="s">
        <v>21</v>
      </c>
      <c r="W42" s="775">
        <f t="shared" si="14"/>
        <v>100</v>
      </c>
      <c r="X42" s="1813"/>
      <c r="Y42" s="3301"/>
      <c r="Z42" s="1814" t="str">
        <f t="shared" si="18"/>
        <v>内部装修</v>
      </c>
      <c r="AA42" s="1811">
        <f t="shared" si="15"/>
        <v>1</v>
      </c>
      <c r="AB42" s="1811">
        <f t="shared" si="16"/>
        <v>1</v>
      </c>
      <c r="AC42" s="1811">
        <f t="shared" si="17"/>
        <v>1</v>
      </c>
    </row>
    <row r="43" spans="1:29" ht="28.8" hidden="1">
      <c r="A43" s="472"/>
      <c r="B43" s="422" t="s">
        <v>2562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350"/>
      <c r="Q43" s="1810" t="str">
        <f t="shared" si="11"/>
        <v>内部装修维护情况</v>
      </c>
      <c r="R43" s="774" t="s">
        <v>21</v>
      </c>
      <c r="S43" s="775">
        <f t="shared" si="12"/>
        <v>100</v>
      </c>
      <c r="T43" s="774" t="s">
        <v>21</v>
      </c>
      <c r="U43" s="775">
        <f t="shared" si="13"/>
        <v>100</v>
      </c>
      <c r="V43" s="774" t="s">
        <v>21</v>
      </c>
      <c r="W43" s="775">
        <f t="shared" si="14"/>
        <v>100</v>
      </c>
      <c r="X43" s="1813"/>
      <c r="Y43" s="3301"/>
      <c r="Z43" s="1814" t="str">
        <f t="shared" si="18"/>
        <v>内部装修维护情况</v>
      </c>
      <c r="AA43" s="1811">
        <f t="shared" si="15"/>
        <v>1</v>
      </c>
      <c r="AB43" s="1811">
        <f t="shared" si="16"/>
        <v>1</v>
      </c>
      <c r="AC43" s="1811">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350"/>
      <c r="Q44" s="1795">
        <f t="shared" si="11"/>
        <v>111</v>
      </c>
      <c r="R44" s="770" t="s">
        <v>21</v>
      </c>
      <c r="S44" s="771">
        <f t="shared" si="12"/>
        <v>100</v>
      </c>
      <c r="T44" s="770" t="s">
        <v>21</v>
      </c>
      <c r="U44" s="771">
        <f t="shared" si="13"/>
        <v>100</v>
      </c>
      <c r="V44" s="770" t="s">
        <v>21</v>
      </c>
      <c r="W44" s="771">
        <f t="shared" si="14"/>
        <v>100</v>
      </c>
      <c r="X44" s="772"/>
      <c r="Y44" s="3301"/>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350"/>
      <c r="Q45" s="1810">
        <f t="shared" si="11"/>
        <v>111</v>
      </c>
      <c r="R45" s="774" t="s">
        <v>21</v>
      </c>
      <c r="S45" s="775">
        <f t="shared" si="12"/>
        <v>100</v>
      </c>
      <c r="T45" s="774" t="s">
        <v>21</v>
      </c>
      <c r="U45" s="775">
        <f t="shared" si="13"/>
        <v>100</v>
      </c>
      <c r="V45" s="774" t="s">
        <v>21</v>
      </c>
      <c r="W45" s="775">
        <f t="shared" si="14"/>
        <v>100</v>
      </c>
      <c r="X45" s="1813"/>
      <c r="Y45" s="3301"/>
      <c r="Z45" s="1814">
        <f t="shared" si="18"/>
        <v>111</v>
      </c>
      <c r="AA45" s="1811">
        <f t="shared" si="15"/>
        <v>1</v>
      </c>
      <c r="AB45" s="1811">
        <f t="shared" si="16"/>
        <v>1</v>
      </c>
      <c r="AC45" s="1811">
        <f t="shared" si="17"/>
        <v>1</v>
      </c>
    </row>
    <row r="46" spans="1:29" ht="15.6" hidden="1"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351"/>
      <c r="Q46" s="1810">
        <f t="shared" si="11"/>
        <v>0</v>
      </c>
      <c r="R46" s="774" t="s">
        <v>20</v>
      </c>
      <c r="S46" s="775">
        <f t="shared" si="12"/>
        <v>100</v>
      </c>
      <c r="T46" s="774" t="s">
        <v>20</v>
      </c>
      <c r="U46" s="775">
        <f t="shared" si="13"/>
        <v>100</v>
      </c>
      <c r="V46" s="774" t="s">
        <v>20</v>
      </c>
      <c r="W46" s="775">
        <f t="shared" si="14"/>
        <v>100</v>
      </c>
      <c r="X46" s="1813"/>
      <c r="Y46" s="3352"/>
      <c r="Z46" s="1814">
        <f t="shared" si="18"/>
        <v>0</v>
      </c>
      <c r="AA46" s="1811">
        <f t="shared" si="15"/>
        <v>1</v>
      </c>
      <c r="AB46" s="1811">
        <f t="shared" si="16"/>
        <v>1</v>
      </c>
      <c r="AC46" s="1811">
        <f t="shared" si="17"/>
        <v>1</v>
      </c>
    </row>
    <row r="47" spans="1:29" ht="14.4">
      <c r="A47" s="479" t="s">
        <v>2563</v>
      </c>
      <c r="B47" s="480"/>
      <c r="C47" s="1407" t="s">
        <v>19</v>
      </c>
      <c r="D47" s="1408"/>
      <c r="E47" s="3035">
        <v>18000</v>
      </c>
      <c r="F47" s="3036"/>
      <c r="G47" s="3038">
        <v>14700</v>
      </c>
      <c r="H47" s="3037"/>
      <c r="I47" s="3035">
        <v>16000</v>
      </c>
      <c r="J47" s="1412"/>
      <c r="K47" s="2616"/>
      <c r="L47" s="1143"/>
      <c r="M47" s="1144"/>
      <c r="N47" s="1131"/>
      <c r="O47" s="1144"/>
      <c r="P47" s="3283" t="str">
        <f>A47</f>
        <v>成交单价（元/平方米）</v>
      </c>
      <c r="Q47" s="3283"/>
      <c r="R47" s="3348">
        <f>E47</f>
        <v>18000</v>
      </c>
      <c r="S47" s="3348"/>
      <c r="T47" s="3348">
        <f>G47</f>
        <v>14700</v>
      </c>
      <c r="U47" s="3348"/>
      <c r="V47" s="3348">
        <f>I47</f>
        <v>16000</v>
      </c>
      <c r="W47" s="3348"/>
      <c r="X47" s="759"/>
      <c r="Y47" s="781"/>
      <c r="Z47" s="759"/>
      <c r="AA47" s="759"/>
      <c r="AB47" s="759"/>
      <c r="AC47" s="759"/>
    </row>
    <row r="48" spans="1:29" ht="15" thickBot="1">
      <c r="A48" s="486" t="s">
        <v>2564</v>
      </c>
      <c r="B48" s="487"/>
      <c r="C48" s="1413">
        <f>R49</f>
        <v>14978</v>
      </c>
      <c r="D48" s="1414"/>
      <c r="E48" s="3032">
        <f>R48</f>
        <v>15988</v>
      </c>
      <c r="F48" s="3032"/>
      <c r="G48" s="3033">
        <f>T48</f>
        <v>13718</v>
      </c>
      <c r="H48" s="3034"/>
      <c r="I48" s="3032">
        <f>V48</f>
        <v>15229</v>
      </c>
      <c r="J48" s="1414"/>
      <c r="K48" s="2617"/>
      <c r="L48" s="1143"/>
      <c r="M48" s="1144"/>
      <c r="N48" s="1144"/>
      <c r="O48" s="1144"/>
      <c r="P48" s="3283" t="str">
        <f>A48</f>
        <v>比较价值（元/平方米）</v>
      </c>
      <c r="Q48" s="3283"/>
      <c r="R48" s="3348">
        <f>IF(F1="售价",ROUND(PRODUCT(R47,AA7:AA46),0),ROUND(PRODUCT(R47,AA7:AA46),1))</f>
        <v>15988</v>
      </c>
      <c r="S48" s="3348"/>
      <c r="T48" s="3348">
        <f>IF(F1="售价",ROUND(PRODUCT(T47,AB7:AB46),0),ROUND(PRODUCT(T47,AB7:AB46),1))</f>
        <v>13718</v>
      </c>
      <c r="U48" s="3348"/>
      <c r="V48" s="3348">
        <f>IF(F1="售价",ROUND(PRODUCT(V47,AC7:AC46),0),ROUND(PRODUCT(V47,AC7:AC46),1))</f>
        <v>15229</v>
      </c>
      <c r="W48" s="3348"/>
      <c r="X48" s="759"/>
      <c r="Y48" s="759"/>
      <c r="Z48" s="759"/>
      <c r="AA48" s="759"/>
      <c r="AB48" s="759"/>
      <c r="AC48" s="759"/>
    </row>
    <row r="49" spans="1:29" ht="15" thickBot="1">
      <c r="A49" s="492" t="s">
        <v>3254</v>
      </c>
      <c r="B49" s="493"/>
      <c r="C49" s="1416">
        <f>R49</f>
        <v>14978</v>
      </c>
      <c r="D49" s="1417"/>
      <c r="E49" s="1417"/>
      <c r="F49" s="1417"/>
      <c r="G49" s="1417"/>
      <c r="H49" s="1417"/>
      <c r="I49" s="1417"/>
      <c r="J49" s="1417"/>
      <c r="K49" s="2618"/>
      <c r="L49" s="1143"/>
      <c r="M49" s="1144"/>
      <c r="N49" s="1144"/>
      <c r="O49" s="1144"/>
      <c r="P49" s="3303" t="str">
        <f>A49</f>
        <v>估价对象比较价值（楼面单价，元/平方米）</v>
      </c>
      <c r="Q49" s="3304"/>
      <c r="R49" s="3347">
        <f>IF(F1="售价",ROUND(AVERAGE(R48:V48),0),ROUND(AVERAGE(R48:V48),1))</f>
        <v>14978</v>
      </c>
      <c r="S49" s="3347"/>
      <c r="T49" s="3347"/>
      <c r="U49" s="3347"/>
      <c r="V49" s="3347"/>
      <c r="W49" s="33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f>IF(E47&lt;E48,E48/E47-1,E47/E48-1)</f>
        <v>0.12584438328746561</v>
      </c>
      <c r="F52" s="500" t="str">
        <f>IF(OR(E52&gt;=0.3,E52&lt;=-0.3),"超过30%","")</f>
        <v/>
      </c>
      <c r="G52" s="499">
        <f>IF(G47&lt;G48,G48/G47-1,G47/G48-1)</f>
        <v>7.1584779122320974E-2</v>
      </c>
      <c r="H52" s="500" t="str">
        <f>IF(OR(G52&gt;=0.3,G52&lt;=-0.3),"超过30%","")</f>
        <v/>
      </c>
      <c r="I52" s="499">
        <f>IF(I47&lt;I48,I48/I47-1,I47/I48-1)</f>
        <v>5.0627093046161864E-2</v>
      </c>
      <c r="J52" s="500" t="str">
        <f>IF(OR(I52&gt;=0.3,I52&lt;=-0.3),"超过30%","")</f>
        <v/>
      </c>
      <c r="K52" s="1105"/>
      <c r="L52" s="1106"/>
      <c r="M52" s="1144"/>
      <c r="N52" s="1144"/>
      <c r="O52" s="1144"/>
    </row>
    <row r="53" spans="1:29" ht="13.5" customHeight="1">
      <c r="A53" s="1144"/>
      <c r="B53" s="1144"/>
      <c r="C53" s="497" t="s">
        <v>2566</v>
      </c>
      <c r="D53" s="501"/>
      <c r="E53" s="499">
        <f>IF(E48&lt;G48,G48/E48-1,E48/G48-1)</f>
        <v>0.16547601691208635</v>
      </c>
      <c r="F53" s="500" t="str">
        <f>IF(OR(E53&gt;=0.2,E53&lt;=-0.2),"超过20%","")</f>
        <v/>
      </c>
      <c r="G53" s="499">
        <f>IF(G48&lt;I48,I48/G48-1,G48/I48-1)</f>
        <v>0.11014725178597473</v>
      </c>
      <c r="H53" s="500" t="str">
        <f>IF(OR(G53&gt;=0.2,G53&lt;=-0.2),"超过20%","")</f>
        <v/>
      </c>
      <c r="I53" s="499">
        <f>IF(I48&lt;E48,E48/I48-1,I48/E48-1)</f>
        <v>4.983912272637725E-2</v>
      </c>
      <c r="J53" s="500" t="str">
        <f>IF(OR(I53&gt;=0.2,I53&lt;=-0.2),"超过20%","")</f>
        <v/>
      </c>
      <c r="K53" s="1105"/>
      <c r="L53" s="1106"/>
      <c r="M53" s="1144"/>
      <c r="N53" s="1144"/>
      <c r="O53" s="1144"/>
    </row>
    <row r="54" spans="1:29" s="502" customFormat="1" ht="13.5" customHeight="1">
      <c r="A54" s="1145"/>
      <c r="B54" s="1145"/>
      <c r="C54" s="497" t="s">
        <v>2567</v>
      </c>
      <c r="D54" s="501"/>
      <c r="E54" s="499">
        <f>IF(E47&lt;G47,G47/E47-1,E47/G47-1)</f>
        <v>0.22448979591836737</v>
      </c>
      <c r="F54" s="500" t="str">
        <f>IF(OR(E54&gt;=0.3,E54&lt;=-0.3),"超过30%","")</f>
        <v/>
      </c>
      <c r="G54" s="499">
        <f>IF(G47&lt;I47,I47/G47-1,G47/I47-1)</f>
        <v>8.8435374149659962E-2</v>
      </c>
      <c r="H54" s="500" t="str">
        <f>IF(OR(G54&gt;=0.3,G54&lt;=-0.3),"超过30%","")</f>
        <v/>
      </c>
      <c r="I54" s="499">
        <f>IF(I47&lt;E47,E47/I47-1,I47/E47-1)</f>
        <v>0.125</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2.2" thickBot="1">
      <c r="A57" s="763" t="s">
        <v>2568</v>
      </c>
      <c r="B57" s="759"/>
      <c r="C57" s="764"/>
      <c r="D57" s="764"/>
      <c r="E57" s="764"/>
      <c r="F57" s="765"/>
      <c r="G57" s="765"/>
      <c r="H57" s="764"/>
      <c r="I57" s="764"/>
      <c r="J57" s="764"/>
      <c r="K57" s="1160"/>
      <c r="L57" s="1161"/>
      <c r="M57" s="1159"/>
      <c r="N57" s="1159"/>
      <c r="O57" s="1159"/>
      <c r="P57" s="2621"/>
      <c r="Q57" s="504"/>
    </row>
    <row r="58" spans="1:29" s="508" customFormat="1" ht="14.4">
      <c r="A58" s="505" t="s">
        <v>2569</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c r="A59" s="509"/>
      <c r="B59" s="2622"/>
      <c r="C59" s="1573">
        <v>100</v>
      </c>
      <c r="D59" s="511"/>
      <c r="E59" s="512"/>
      <c r="F59" s="512"/>
      <c r="G59" s="512"/>
      <c r="H59" s="512"/>
      <c r="I59" s="512"/>
      <c r="J59" s="512"/>
      <c r="K59" s="512"/>
      <c r="L59" s="512"/>
      <c r="M59" s="513"/>
      <c r="N59" s="512"/>
      <c r="O59" s="513"/>
      <c r="P59" s="2623"/>
    </row>
    <row r="60" spans="1:29" s="117" customFormat="1" ht="15" thickBot="1">
      <c r="A60" s="515" t="s">
        <v>2570</v>
      </c>
      <c r="B60" s="516"/>
      <c r="C60" s="517"/>
      <c r="D60" s="518"/>
      <c r="E60" s="518"/>
      <c r="F60" s="518"/>
      <c r="G60" s="518"/>
      <c r="H60" s="518"/>
      <c r="I60" s="518"/>
      <c r="J60" s="518"/>
      <c r="K60" s="518"/>
      <c r="L60" s="518"/>
      <c r="M60" s="519"/>
      <c r="N60" s="518"/>
      <c r="O60" s="519"/>
      <c r="P60" s="2623"/>
      <c r="Q60" s="504"/>
    </row>
    <row r="61" spans="1:29" s="117" customFormat="1" ht="14.4">
      <c r="A61" s="521" t="s">
        <v>2571</v>
      </c>
      <c r="B61" s="510"/>
      <c r="C61" s="522" t="s">
        <v>2572</v>
      </c>
      <c r="D61" s="523"/>
      <c r="E61" s="523"/>
      <c r="F61" s="523"/>
      <c r="G61" s="523"/>
      <c r="H61" s="523"/>
      <c r="I61" s="523"/>
      <c r="J61" s="523"/>
      <c r="K61" s="523"/>
      <c r="L61" s="524"/>
      <c r="M61" s="525"/>
      <c r="N61" s="1151"/>
      <c r="O61" s="1151"/>
      <c r="P61" s="2624"/>
      <c r="Q61" s="504"/>
    </row>
    <row r="62" spans="1:29" s="117" customFormat="1" ht="14.4" thickBot="1">
      <c r="A62" s="521"/>
      <c r="B62" s="510"/>
      <c r="C62" s="511">
        <v>100</v>
      </c>
      <c r="D62" s="512"/>
      <c r="E62" s="512"/>
      <c r="F62" s="512"/>
      <c r="G62" s="512"/>
      <c r="H62" s="512"/>
      <c r="I62" s="512"/>
      <c r="J62" s="512"/>
      <c r="K62" s="512"/>
      <c r="L62" s="512"/>
      <c r="M62" s="514"/>
      <c r="N62" s="1151"/>
      <c r="O62" s="1151"/>
      <c r="P62" s="2623"/>
      <c r="Q62" s="504"/>
    </row>
    <row r="63" spans="1:29" ht="14.4">
      <c r="A63" s="527" t="s">
        <v>2573</v>
      </c>
      <c r="B63" s="528" t="s">
        <v>2540</v>
      </c>
      <c r="C63" s="529" t="str">
        <f>C9</f>
        <v>住宅</v>
      </c>
      <c r="D63" s="530"/>
      <c r="E63" s="530"/>
      <c r="F63" s="530"/>
      <c r="G63" s="530"/>
      <c r="H63" s="530"/>
      <c r="I63" s="530"/>
      <c r="J63" s="530"/>
      <c r="K63" s="531"/>
      <c r="L63" s="532"/>
      <c r="M63" s="533"/>
      <c r="N63" s="1152"/>
      <c r="O63" s="1152"/>
      <c r="P63" s="2625"/>
      <c r="Q63" s="504"/>
    </row>
    <row r="64" spans="1:29" ht="14.4" thickBot="1">
      <c r="A64" s="534"/>
      <c r="B64" s="535"/>
      <c r="C64" s="536">
        <v>100</v>
      </c>
      <c r="D64" s="536"/>
      <c r="E64" s="536"/>
      <c r="F64" s="536"/>
      <c r="G64" s="536"/>
      <c r="H64" s="536"/>
      <c r="I64" s="536"/>
      <c r="J64" s="536"/>
      <c r="K64" s="536"/>
      <c r="L64" s="536"/>
      <c r="M64" s="537"/>
      <c r="N64" s="1153"/>
      <c r="O64" s="1153"/>
      <c r="P64" s="2625"/>
      <c r="Q64" s="504"/>
    </row>
    <row r="65" spans="1:17" ht="29.4" thickTop="1">
      <c r="A65" s="534"/>
      <c r="B65" s="538" t="s">
        <v>2543</v>
      </c>
      <c r="C65" s="539" t="s">
        <v>2574</v>
      </c>
      <c r="D65" s="539" t="s">
        <v>2575</v>
      </c>
      <c r="E65" s="539" t="s">
        <v>2576</v>
      </c>
      <c r="F65" s="539" t="s">
        <v>2577</v>
      </c>
      <c r="G65" s="539" t="s">
        <v>2578</v>
      </c>
      <c r="H65" s="539" t="s">
        <v>2579</v>
      </c>
      <c r="I65" s="539" t="s">
        <v>2580</v>
      </c>
      <c r="J65" s="539"/>
      <c r="K65" s="540"/>
      <c r="L65" s="541"/>
      <c r="M65" s="542"/>
      <c r="N65" s="1152"/>
      <c r="O65" s="1152"/>
      <c r="P65" s="2625"/>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 thickTop="1">
      <c r="A67" s="534"/>
      <c r="B67" s="546" t="s">
        <v>2544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c r="A68" s="534"/>
      <c r="B68" s="548"/>
      <c r="C68" s="549">
        <v>0</v>
      </c>
      <c r="D68" s="549">
        <v>1</v>
      </c>
      <c r="E68" s="549">
        <v>2</v>
      </c>
      <c r="F68" s="549">
        <v>3</v>
      </c>
      <c r="G68" s="549">
        <v>4</v>
      </c>
      <c r="H68" s="549">
        <v>5</v>
      </c>
      <c r="I68" s="549"/>
      <c r="J68" s="549"/>
      <c r="K68" s="550"/>
      <c r="L68" s="551"/>
      <c r="M68" s="552"/>
      <c r="N68" s="1152"/>
      <c r="O68" s="1152"/>
      <c r="P68" s="2625"/>
      <c r="Q68" s="504"/>
    </row>
    <row r="69" spans="1:17" ht="14.4"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5"/>
      <c r="Q69" s="504"/>
    </row>
    <row r="70" spans="1:17" s="471" customFormat="1" ht="14.4" hidden="1" thickTop="1">
      <c r="A70" s="553"/>
      <c r="B70" s="538">
        <f>B12</f>
        <v>111</v>
      </c>
      <c r="C70" s="554"/>
      <c r="D70" s="554"/>
      <c r="E70" s="554"/>
      <c r="F70" s="554"/>
      <c r="G70" s="554"/>
      <c r="H70" s="555"/>
      <c r="I70" s="555"/>
      <c r="J70" s="555"/>
      <c r="K70" s="555"/>
      <c r="L70" s="556"/>
      <c r="M70" s="557"/>
      <c r="N70" s="1154"/>
      <c r="O70" s="1154"/>
      <c r="P70" s="2626"/>
      <c r="Q70" s="559"/>
    </row>
    <row r="71" spans="1:17" s="471" customFormat="1" ht="14.4" hidden="1" thickBot="1">
      <c r="A71" s="553"/>
      <c r="B71" s="543"/>
      <c r="C71" s="560"/>
      <c r="D71" s="536"/>
      <c r="E71" s="536"/>
      <c r="F71" s="536"/>
      <c r="G71" s="536"/>
      <c r="H71" s="536"/>
      <c r="I71" s="536"/>
      <c r="J71" s="536"/>
      <c r="K71" s="536"/>
      <c r="L71" s="536"/>
      <c r="M71" s="537"/>
      <c r="N71" s="1153"/>
      <c r="O71" s="1153"/>
      <c r="P71" s="2626"/>
      <c r="Q71" s="559"/>
    </row>
    <row r="72" spans="1:17" s="471" customFormat="1" ht="14.4" hidden="1" thickTop="1">
      <c r="A72" s="553"/>
      <c r="B72" s="538">
        <f>B13</f>
        <v>111</v>
      </c>
      <c r="C72" s="554"/>
      <c r="D72" s="554"/>
      <c r="E72" s="554"/>
      <c r="F72" s="554"/>
      <c r="G72" s="554"/>
      <c r="H72" s="555"/>
      <c r="I72" s="555"/>
      <c r="J72" s="555"/>
      <c r="K72" s="555"/>
      <c r="L72" s="556"/>
      <c r="M72" s="557"/>
      <c r="N72" s="1154"/>
      <c r="O72" s="1154"/>
      <c r="P72" s="2627"/>
      <c r="Q72" s="561"/>
    </row>
    <row r="73" spans="1:17" s="471" customFormat="1" ht="14.4" hidden="1" thickBot="1">
      <c r="A73" s="553"/>
      <c r="B73" s="543"/>
      <c r="C73" s="560"/>
      <c r="D73" s="560"/>
      <c r="E73" s="560"/>
      <c r="F73" s="560"/>
      <c r="G73" s="560"/>
      <c r="H73" s="562"/>
      <c r="I73" s="562"/>
      <c r="J73" s="562"/>
      <c r="K73" s="562"/>
      <c r="L73" s="562"/>
      <c r="M73" s="563"/>
      <c r="N73" s="1154"/>
      <c r="O73" s="1154"/>
      <c r="P73" s="2626"/>
      <c r="Q73" s="559"/>
    </row>
    <row r="74" spans="1:17" s="471" customFormat="1" ht="14.4" hidden="1" thickTop="1">
      <c r="A74" s="553"/>
      <c r="B74" s="546">
        <f>B14</f>
        <v>111</v>
      </c>
      <c r="C74" s="554"/>
      <c r="D74" s="554"/>
      <c r="E74" s="554"/>
      <c r="F74" s="554"/>
      <c r="G74" s="523"/>
      <c r="H74" s="564"/>
      <c r="I74" s="564"/>
      <c r="J74" s="564"/>
      <c r="K74" s="564"/>
      <c r="L74" s="565"/>
      <c r="M74" s="566"/>
      <c r="N74" s="1154"/>
      <c r="O74" s="1154"/>
      <c r="P74" s="2628"/>
      <c r="Q74" s="559"/>
    </row>
    <row r="75" spans="1:17" s="471" customFormat="1" ht="14.4" hidden="1" thickBot="1">
      <c r="A75" s="568"/>
      <c r="B75" s="569"/>
      <c r="C75" s="570"/>
      <c r="D75" s="570"/>
      <c r="E75" s="570"/>
      <c r="F75" s="570"/>
      <c r="G75" s="570"/>
      <c r="H75" s="571"/>
      <c r="I75" s="571"/>
      <c r="J75" s="571"/>
      <c r="K75" s="571"/>
      <c r="L75" s="571"/>
      <c r="M75" s="572"/>
      <c r="N75" s="1154"/>
      <c r="O75" s="1154"/>
      <c r="P75" s="2626"/>
      <c r="Q75" s="559"/>
    </row>
    <row r="76" spans="1:17" ht="15" thickTop="1">
      <c r="A76" s="527" t="s">
        <v>2545</v>
      </c>
      <c r="B76" s="528" t="s">
        <v>2581</v>
      </c>
      <c r="C76" s="573" t="s">
        <v>2582</v>
      </c>
      <c r="D76" s="573" t="s">
        <v>2583</v>
      </c>
      <c r="E76" s="573" t="s">
        <v>2584</v>
      </c>
      <c r="F76" s="573" t="s">
        <v>2585</v>
      </c>
      <c r="G76" s="573" t="s">
        <v>2586</v>
      </c>
      <c r="H76" s="529"/>
      <c r="I76" s="529"/>
      <c r="J76" s="529"/>
      <c r="K76" s="574"/>
      <c r="L76" s="575"/>
      <c r="M76" s="576"/>
      <c r="N76" s="1152"/>
      <c r="O76" s="1152"/>
      <c r="P76" s="2629"/>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3"/>
      <c r="O77" s="1153"/>
      <c r="P77" s="2625"/>
      <c r="Q77" s="504"/>
    </row>
    <row r="78" spans="1:17" ht="15" thickTop="1">
      <c r="A78" s="534"/>
      <c r="B78" s="538" t="s">
        <v>2587</v>
      </c>
      <c r="C78" s="578" t="s">
        <v>2582</v>
      </c>
      <c r="D78" s="578" t="s">
        <v>2583</v>
      </c>
      <c r="E78" s="578" t="s">
        <v>2584</v>
      </c>
      <c r="F78" s="578" t="s">
        <v>2585</v>
      </c>
      <c r="G78" s="578" t="s">
        <v>2586</v>
      </c>
      <c r="H78" s="539"/>
      <c r="I78" s="539"/>
      <c r="J78" s="539"/>
      <c r="K78" s="540"/>
      <c r="L78" s="541"/>
      <c r="M78" s="542"/>
      <c r="N78" s="1152"/>
      <c r="O78" s="1152"/>
      <c r="P78" s="2625"/>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 thickTop="1">
      <c r="A80" s="534"/>
      <c r="B80" s="538" t="s">
        <v>2588</v>
      </c>
      <c r="C80" s="578" t="s">
        <v>2582</v>
      </c>
      <c r="D80" s="578" t="s">
        <v>2583</v>
      </c>
      <c r="E80" s="578" t="s">
        <v>2584</v>
      </c>
      <c r="F80" s="578" t="s">
        <v>2585</v>
      </c>
      <c r="G80" s="578" t="s">
        <v>2586</v>
      </c>
      <c r="H80" s="539"/>
      <c r="I80" s="539"/>
      <c r="J80" s="539"/>
      <c r="K80" s="540"/>
      <c r="L80" s="541"/>
      <c r="M80" s="542"/>
      <c r="N80" s="1152"/>
      <c r="O80" s="1152"/>
      <c r="P80" s="2625"/>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 thickTop="1">
      <c r="A82" s="534"/>
      <c r="B82" s="546" t="s">
        <v>2089</v>
      </c>
      <c r="C82" s="539" t="s">
        <v>2589</v>
      </c>
      <c r="D82" s="539" t="s">
        <v>2590</v>
      </c>
      <c r="E82" s="539" t="s">
        <v>2591</v>
      </c>
      <c r="F82" s="539" t="s">
        <v>2592</v>
      </c>
      <c r="G82" s="539" t="s">
        <v>2593</v>
      </c>
      <c r="H82" s="539"/>
      <c r="I82" s="539"/>
      <c r="J82" s="539"/>
      <c r="K82" s="539"/>
      <c r="L82" s="539"/>
      <c r="M82" s="1382"/>
      <c r="N82" s="1153"/>
      <c r="O82" s="1153"/>
      <c r="P82" s="2625"/>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5"/>
      <c r="Q83" s="504"/>
    </row>
    <row r="84" spans="1:17" ht="15" thickTop="1">
      <c r="A84" s="534"/>
      <c r="B84" s="538" t="s">
        <v>2594</v>
      </c>
      <c r="C84" s="578" t="s">
        <v>2582</v>
      </c>
      <c r="D84" s="578" t="s">
        <v>2583</v>
      </c>
      <c r="E84" s="578" t="s">
        <v>2584</v>
      </c>
      <c r="F84" s="578" t="s">
        <v>2585</v>
      </c>
      <c r="G84" s="578" t="s">
        <v>2586</v>
      </c>
      <c r="H84" s="539"/>
      <c r="I84" s="539"/>
      <c r="J84" s="539"/>
      <c r="K84" s="540"/>
      <c r="L84" s="541"/>
      <c r="M84" s="542"/>
      <c r="N84" s="1152"/>
      <c r="O84" s="1152"/>
      <c r="P84" s="2625"/>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 thickTop="1">
      <c r="A86" s="579"/>
      <c r="B86" s="538" t="s">
        <v>2595</v>
      </c>
      <c r="C86" s="554"/>
      <c r="D86" s="554"/>
      <c r="E86" s="554"/>
      <c r="F86" s="554"/>
      <c r="G86" s="554"/>
      <c r="H86" s="554"/>
      <c r="I86" s="554"/>
      <c r="J86" s="554"/>
      <c r="K86" s="554"/>
      <c r="L86" s="580"/>
      <c r="M86" s="581"/>
      <c r="N86" s="1151"/>
      <c r="O86" s="1151"/>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 thickTop="1">
      <c r="A88" s="579"/>
      <c r="B88" s="538" t="s">
        <v>2596</v>
      </c>
      <c r="C88" s="554"/>
      <c r="D88" s="554"/>
      <c r="E88" s="554"/>
      <c r="F88" s="2630"/>
      <c r="G88" s="554"/>
      <c r="H88" s="554"/>
      <c r="I88" s="554"/>
      <c r="J88" s="554"/>
      <c r="K88" s="554"/>
      <c r="L88" s="554"/>
      <c r="M88" s="581"/>
      <c r="N88" s="1151"/>
      <c r="O88" s="1151"/>
      <c r="P88" s="2625"/>
      <c r="Q88" s="504"/>
    </row>
    <row r="89" spans="1:17" s="117" customFormat="1" ht="14.4"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25"/>
      <c r="Q89" s="504"/>
    </row>
    <row r="90" spans="1:17" s="471" customFormat="1" ht="14.4" hidden="1" thickTop="1">
      <c r="A90" s="553"/>
      <c r="B90" s="538">
        <f>B27</f>
        <v>111</v>
      </c>
      <c r="C90" s="554"/>
      <c r="D90" s="554"/>
      <c r="E90" s="554"/>
      <c r="F90" s="554"/>
      <c r="G90" s="554"/>
      <c r="H90" s="555"/>
      <c r="I90" s="555"/>
      <c r="J90" s="555"/>
      <c r="K90" s="555"/>
      <c r="L90" s="556"/>
      <c r="M90" s="557"/>
      <c r="N90" s="1154"/>
      <c r="O90" s="1154"/>
      <c r="P90" s="2626"/>
      <c r="Q90" s="559"/>
    </row>
    <row r="91" spans="1:17" s="471" customFormat="1" ht="14.4" hidden="1" thickBot="1">
      <c r="A91" s="553"/>
      <c r="B91" s="543"/>
      <c r="C91" s="560"/>
      <c r="D91" s="560"/>
      <c r="E91" s="560"/>
      <c r="F91" s="560"/>
      <c r="G91" s="560"/>
      <c r="H91" s="562"/>
      <c r="I91" s="562"/>
      <c r="J91" s="562"/>
      <c r="K91" s="562"/>
      <c r="L91" s="562"/>
      <c r="M91" s="563"/>
      <c r="N91" s="1154"/>
      <c r="O91" s="1154"/>
      <c r="P91" s="2626"/>
      <c r="Q91" s="559"/>
    </row>
    <row r="92" spans="1:17" ht="14.4" hidden="1" thickTop="1">
      <c r="A92" s="534"/>
      <c r="B92" s="538">
        <f>B28</f>
        <v>111</v>
      </c>
      <c r="C92" s="554"/>
      <c r="D92" s="554"/>
      <c r="E92" s="554"/>
      <c r="F92" s="554"/>
      <c r="G92" s="583"/>
      <c r="H92" s="583"/>
      <c r="I92" s="583"/>
      <c r="J92" s="583"/>
      <c r="K92" s="584"/>
      <c r="L92" s="585"/>
      <c r="M92" s="586"/>
      <c r="N92" s="1152"/>
      <c r="O92" s="1152"/>
      <c r="P92" s="2625"/>
      <c r="Q92" s="504"/>
    </row>
    <row r="93" spans="1:17" ht="14.4" hidden="1" thickBot="1">
      <c r="A93" s="534"/>
      <c r="B93" s="543"/>
      <c r="C93" s="560"/>
      <c r="D93" s="536"/>
      <c r="E93" s="536"/>
      <c r="F93" s="536"/>
      <c r="G93" s="536"/>
      <c r="H93" s="536"/>
      <c r="I93" s="536"/>
      <c r="J93" s="536"/>
      <c r="K93" s="536"/>
      <c r="L93" s="536"/>
      <c r="M93" s="537"/>
      <c r="N93" s="1153"/>
      <c r="O93" s="1153"/>
      <c r="P93" s="2625"/>
      <c r="Q93" s="504"/>
    </row>
    <row r="94" spans="1:17" ht="14.4" hidden="1" thickTop="1">
      <c r="A94" s="534"/>
      <c r="B94" s="538">
        <f>B29</f>
        <v>111</v>
      </c>
      <c r="C94" s="554"/>
      <c r="D94" s="554"/>
      <c r="E94" s="554"/>
      <c r="F94" s="554"/>
      <c r="G94" s="583"/>
      <c r="H94" s="583"/>
      <c r="I94" s="583"/>
      <c r="J94" s="583"/>
      <c r="K94" s="584"/>
      <c r="L94" s="585"/>
      <c r="M94" s="586"/>
      <c r="N94" s="1152"/>
      <c r="O94" s="1152"/>
      <c r="P94" s="2625"/>
      <c r="Q94" s="504"/>
    </row>
    <row r="95" spans="1:17" ht="14.4" hidden="1" thickBot="1">
      <c r="A95" s="534"/>
      <c r="B95" s="543"/>
      <c r="C95" s="560"/>
      <c r="D95" s="560"/>
      <c r="E95" s="560"/>
      <c r="F95" s="560"/>
      <c r="G95" s="536"/>
      <c r="H95" s="536"/>
      <c r="I95" s="536"/>
      <c r="J95" s="536"/>
      <c r="K95" s="536"/>
      <c r="L95" s="536"/>
      <c r="M95" s="537"/>
      <c r="N95" s="1153"/>
      <c r="O95" s="1153"/>
      <c r="P95" s="2625"/>
      <c r="Q95" s="504"/>
    </row>
    <row r="96" spans="1:17" ht="14.4" hidden="1" thickTop="1">
      <c r="A96" s="534"/>
      <c r="B96" s="538">
        <f>B30</f>
        <v>111</v>
      </c>
      <c r="C96" s="554"/>
      <c r="D96" s="554"/>
      <c r="E96" s="554"/>
      <c r="F96" s="554"/>
      <c r="G96" s="583"/>
      <c r="H96" s="583"/>
      <c r="I96" s="583"/>
      <c r="J96" s="583"/>
      <c r="K96" s="584"/>
      <c r="L96" s="585"/>
      <c r="M96" s="586"/>
      <c r="N96" s="1152"/>
      <c r="O96" s="1152"/>
      <c r="P96" s="2625"/>
      <c r="Q96" s="504"/>
    </row>
    <row r="97" spans="1:17" ht="14.4" hidden="1" thickBot="1">
      <c r="A97" s="534"/>
      <c r="B97" s="543"/>
      <c r="C97" s="570"/>
      <c r="D97" s="570"/>
      <c r="E97" s="570"/>
      <c r="F97" s="570"/>
      <c r="G97" s="536"/>
      <c r="H97" s="536"/>
      <c r="I97" s="536"/>
      <c r="J97" s="536"/>
      <c r="K97" s="536"/>
      <c r="L97" s="536"/>
      <c r="M97" s="537"/>
      <c r="N97" s="1153"/>
      <c r="O97" s="1153"/>
      <c r="P97" s="2625"/>
      <c r="Q97" s="504"/>
    </row>
    <row r="98" spans="1:17" ht="14.4" hidden="1" thickTop="1">
      <c r="A98" s="534"/>
      <c r="B98" s="546">
        <f>B31</f>
        <v>111</v>
      </c>
      <c r="C98" s="587"/>
      <c r="D98" s="587"/>
      <c r="E98" s="587"/>
      <c r="F98" s="587"/>
      <c r="G98" s="587"/>
      <c r="H98" s="587"/>
      <c r="I98" s="587"/>
      <c r="J98" s="587"/>
      <c r="K98" s="588"/>
      <c r="L98" s="589"/>
      <c r="M98" s="590"/>
      <c r="N98" s="1152"/>
      <c r="O98" s="1152"/>
      <c r="P98" s="2625"/>
      <c r="Q98" s="504"/>
    </row>
    <row r="99" spans="1:17" ht="14.4" hidden="1" thickBot="1">
      <c r="A99" s="2631"/>
      <c r="B99" s="569"/>
      <c r="C99" s="591"/>
      <c r="D99" s="591"/>
      <c r="E99" s="591"/>
      <c r="F99" s="591"/>
      <c r="G99" s="591"/>
      <c r="H99" s="591"/>
      <c r="I99" s="591"/>
      <c r="J99" s="591"/>
      <c r="K99" s="591"/>
      <c r="L99" s="591"/>
      <c r="M99" s="592"/>
      <c r="N99" s="1153"/>
      <c r="O99" s="1153"/>
      <c r="P99" s="2625"/>
      <c r="Q99" s="504"/>
    </row>
    <row r="100" spans="1:17" ht="15" thickTop="1">
      <c r="A100" s="527" t="s">
        <v>2549</v>
      </c>
      <c r="B100" s="528" t="s">
        <v>2597</v>
      </c>
      <c r="C100" s="3008" t="s">
        <v>3303</v>
      </c>
      <c r="D100" s="530"/>
      <c r="E100" s="530"/>
      <c r="F100" s="530"/>
      <c r="G100" s="530"/>
      <c r="H100" s="530"/>
      <c r="I100" s="530"/>
      <c r="J100" s="530"/>
      <c r="K100" s="531"/>
      <c r="L100" s="532"/>
      <c r="M100" s="533"/>
      <c r="N100" s="1152"/>
      <c r="O100" s="1152"/>
      <c r="P100" s="2625"/>
      <c r="Q100" s="504"/>
    </row>
    <row r="101" spans="1:17" ht="14.4"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3"/>
      <c r="O101" s="1153"/>
      <c r="P101" s="2625"/>
      <c r="Q101" s="504"/>
    </row>
    <row r="102" spans="1:17" ht="28.2" thickTop="1">
      <c r="A102" s="534"/>
      <c r="B102" s="538" t="s">
        <v>2598</v>
      </c>
      <c r="C102" s="578" t="str">
        <f>C103&amp;"(含)"&amp;"-"&amp;D103</f>
        <v>0(含)-100000</v>
      </c>
      <c r="D102" s="578" t="str">
        <f t="shared" ref="D102:L102" si="27">D103&amp;"(含)"&amp;"-"&amp;E103</f>
        <v>100000(含)-200000</v>
      </c>
      <c r="E102" s="578" t="str">
        <f t="shared" si="27"/>
        <v>200000(含)-400000</v>
      </c>
      <c r="F102" s="578" t="str">
        <f t="shared" si="27"/>
        <v>400000(含)-600000</v>
      </c>
      <c r="G102" s="578" t="str">
        <f t="shared" si="27"/>
        <v>600000(含)-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100000</v>
      </c>
      <c r="E103" s="595">
        <v>200000</v>
      </c>
      <c r="F103" s="595">
        <v>400000</v>
      </c>
      <c r="G103" s="595">
        <v>600000</v>
      </c>
      <c r="H103" s="595"/>
      <c r="I103" s="595"/>
      <c r="J103" s="596"/>
      <c r="K103" s="596"/>
      <c r="L103" s="597"/>
      <c r="M103" s="598"/>
      <c r="N103" s="1154"/>
      <c r="O103" s="1154"/>
      <c r="P103" s="2626"/>
      <c r="Q103" s="559"/>
    </row>
    <row r="104" spans="1:17" s="471" customFormat="1" ht="14.4" thickBot="1">
      <c r="A104" s="553"/>
      <c r="B104" s="543"/>
      <c r="C104" s="560">
        <v>100</v>
      </c>
      <c r="D104" s="536">
        <v>102</v>
      </c>
      <c r="E104" s="536">
        <v>104</v>
      </c>
      <c r="F104" s="536">
        <v>106</v>
      </c>
      <c r="G104" s="536">
        <v>108</v>
      </c>
      <c r="H104" s="536"/>
      <c r="I104" s="536"/>
      <c r="J104" s="536"/>
      <c r="K104" s="536"/>
      <c r="L104" s="536"/>
      <c r="M104" s="536"/>
      <c r="N104" s="1153"/>
      <c r="O104" s="1153"/>
      <c r="P104" s="2626"/>
      <c r="Q104" s="559"/>
    </row>
    <row r="105" spans="1:17" ht="15" thickTop="1">
      <c r="A105" s="599"/>
      <c r="B105" s="538" t="s">
        <v>2599</v>
      </c>
      <c r="C105" s="2976" t="s">
        <v>3304</v>
      </c>
      <c r="D105" s="554"/>
      <c r="E105" s="583"/>
      <c r="F105" s="583"/>
      <c r="G105" s="583"/>
      <c r="H105" s="583"/>
      <c r="I105" s="583"/>
      <c r="J105" s="583"/>
      <c r="K105" s="584"/>
      <c r="L105" s="585"/>
      <c r="M105" s="586"/>
      <c r="N105" s="1152"/>
      <c r="O105" s="1152"/>
      <c r="P105" s="2625"/>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5"/>
      <c r="Q106" s="504"/>
    </row>
    <row r="107" spans="1:17" ht="15" thickTop="1">
      <c r="A107" s="599"/>
      <c r="B107" s="538" t="s">
        <v>2600</v>
      </c>
      <c r="C107" s="3009" t="s">
        <v>3306</v>
      </c>
      <c r="D107" s="3009" t="s">
        <v>3308</v>
      </c>
      <c r="E107" s="3009" t="s">
        <v>3309</v>
      </c>
      <c r="F107" s="583"/>
      <c r="G107" s="583"/>
      <c r="H107" s="583"/>
      <c r="I107" s="583"/>
      <c r="J107" s="583"/>
      <c r="K107" s="584"/>
      <c r="L107" s="585"/>
      <c r="M107" s="586"/>
      <c r="N107" s="1152"/>
      <c r="O107" s="1152"/>
      <c r="P107" s="2625"/>
      <c r="Q107" s="504"/>
    </row>
    <row r="108" spans="1:17" ht="14.4"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53"/>
      <c r="O108" s="1153"/>
      <c r="P108" s="2625"/>
      <c r="Q108" s="504"/>
    </row>
    <row r="109" spans="1:17" ht="15" thickTop="1">
      <c r="A109" s="599"/>
      <c r="B109" s="538" t="s">
        <v>2601</v>
      </c>
      <c r="C109" s="2976" t="s">
        <v>3310</v>
      </c>
      <c r="D109" s="2976" t="s">
        <v>3311</v>
      </c>
      <c r="E109" s="2976" t="s">
        <v>3312</v>
      </c>
      <c r="F109" s="3009" t="s">
        <v>3313</v>
      </c>
      <c r="G109" s="583"/>
      <c r="H109" s="583"/>
      <c r="I109" s="583"/>
      <c r="J109" s="583"/>
      <c r="K109" s="584"/>
      <c r="L109" s="585"/>
      <c r="M109" s="586"/>
      <c r="N109" s="1152"/>
      <c r="O109" s="1152"/>
      <c r="P109" s="2625"/>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4.4"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6"/>
      <c r="Q113" s="559"/>
    </row>
    <row r="114" spans="1:17" ht="15" thickTop="1">
      <c r="A114" s="599"/>
      <c r="B114" s="538" t="s">
        <v>2602</v>
      </c>
      <c r="C114" s="2976" t="s">
        <v>3314</v>
      </c>
      <c r="D114" s="2976" t="s">
        <v>3315</v>
      </c>
      <c r="E114" s="3009" t="s">
        <v>3316</v>
      </c>
      <c r="F114" s="583"/>
      <c r="G114" s="583"/>
      <c r="H114" s="583"/>
      <c r="I114" s="583"/>
      <c r="J114" s="583"/>
      <c r="K114" s="584"/>
      <c r="L114" s="585"/>
      <c r="M114" s="586"/>
      <c r="N114" s="1152"/>
      <c r="O114" s="1152"/>
      <c r="P114" s="2625"/>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5"/>
      <c r="Q115" s="504"/>
    </row>
    <row r="116" spans="1:17" ht="15" thickTop="1">
      <c r="A116" s="599"/>
      <c r="B116" s="538" t="s">
        <v>2603</v>
      </c>
      <c r="C116" s="2976" t="s">
        <v>3317</v>
      </c>
      <c r="D116" s="2976" t="s">
        <v>3318</v>
      </c>
      <c r="E116" s="554"/>
      <c r="F116" s="554"/>
      <c r="G116" s="554"/>
      <c r="H116" s="583"/>
      <c r="I116" s="583"/>
      <c r="J116" s="583"/>
      <c r="K116" s="584"/>
      <c r="L116" s="585"/>
      <c r="M116" s="586"/>
      <c r="N116" s="1152"/>
      <c r="O116" s="1152"/>
      <c r="P116" s="2625"/>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2604</v>
      </c>
      <c r="C118" s="583"/>
      <c r="D118" s="583"/>
      <c r="E118" s="583"/>
      <c r="F118" s="583"/>
      <c r="G118" s="583"/>
      <c r="H118" s="583"/>
      <c r="I118" s="583"/>
      <c r="J118" s="583"/>
      <c r="K118" s="584"/>
      <c r="L118" s="585"/>
      <c r="M118" s="586"/>
      <c r="N118" s="1152"/>
      <c r="O118" s="1152"/>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9.4" thickTop="1">
      <c r="A120" s="593"/>
      <c r="B120" s="538" t="s">
        <v>2560</v>
      </c>
      <c r="C120" s="2976" t="s">
        <v>3320</v>
      </c>
      <c r="D120" s="2976" t="s">
        <v>3321</v>
      </c>
      <c r="E120" s="2976"/>
      <c r="F120" s="554"/>
      <c r="G120" s="554"/>
      <c r="H120" s="554"/>
      <c r="I120" s="554"/>
      <c r="J120" s="554"/>
      <c r="K120" s="554"/>
      <c r="L120" s="580"/>
      <c r="M120" s="581"/>
      <c r="N120" s="1154"/>
      <c r="O120" s="1154"/>
      <c r="P120" s="2626"/>
      <c r="Q120" s="559"/>
    </row>
    <row r="121" spans="1:17" s="471" customFormat="1" ht="14.4" thickBot="1">
      <c r="A121" s="553"/>
      <c r="B121" s="535"/>
      <c r="C121" s="560">
        <v>105</v>
      </c>
      <c r="D121" s="536">
        <v>100</v>
      </c>
      <c r="E121" s="536"/>
      <c r="F121" s="536"/>
      <c r="G121" s="536"/>
      <c r="H121" s="536"/>
      <c r="I121" s="536"/>
      <c r="J121" s="536"/>
      <c r="K121" s="536"/>
      <c r="L121" s="536"/>
      <c r="M121" s="536"/>
      <c r="N121" s="1154"/>
      <c r="O121" s="1154"/>
      <c r="P121" s="2626"/>
      <c r="Q121" s="559"/>
    </row>
    <row r="122" spans="1:17" ht="15" thickTop="1">
      <c r="A122" s="599"/>
      <c r="B122" s="538" t="s">
        <v>2605</v>
      </c>
      <c r="C122" s="2976" t="s">
        <v>3310</v>
      </c>
      <c r="D122" s="2976" t="s">
        <v>3311</v>
      </c>
      <c r="E122" s="2976" t="s">
        <v>3312</v>
      </c>
      <c r="F122" s="3009" t="s">
        <v>3313</v>
      </c>
      <c r="G122" s="583"/>
      <c r="H122" s="583"/>
      <c r="I122" s="583"/>
      <c r="J122" s="583"/>
      <c r="K122" s="584"/>
      <c r="L122" s="585"/>
      <c r="M122" s="586"/>
      <c r="N122" s="1152"/>
      <c r="O122" s="1152"/>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29.4"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6"/>
      <c r="Q127" s="559"/>
    </row>
    <row r="128" spans="1:17" ht="14.4" thickTop="1">
      <c r="A128" s="599"/>
      <c r="B128" s="538">
        <f>B45</f>
        <v>111</v>
      </c>
      <c r="C128" s="554"/>
      <c r="D128" s="554"/>
      <c r="E128" s="554"/>
      <c r="F128" s="554"/>
      <c r="G128" s="583"/>
      <c r="H128" s="583"/>
      <c r="I128" s="583"/>
      <c r="J128" s="583"/>
      <c r="K128" s="584"/>
      <c r="L128" s="585"/>
      <c r="M128" s="586"/>
      <c r="N128" s="1152"/>
      <c r="O128" s="1152"/>
      <c r="P128" s="2625"/>
      <c r="Q128" s="504"/>
    </row>
    <row r="129" spans="1:17" ht="14.4" thickBot="1">
      <c r="A129" s="534"/>
      <c r="B129" s="543"/>
      <c r="C129" s="560"/>
      <c r="D129" s="560"/>
      <c r="E129" s="560"/>
      <c r="F129" s="560"/>
      <c r="G129" s="536"/>
      <c r="H129" s="536"/>
      <c r="I129" s="536"/>
      <c r="J129" s="536"/>
      <c r="K129" s="536"/>
      <c r="L129" s="536"/>
      <c r="M129" s="537"/>
      <c r="N129" s="1153"/>
      <c r="O129" s="1153"/>
      <c r="P129" s="2625"/>
      <c r="Q129" s="504"/>
    </row>
    <row r="130" spans="1:17" ht="14.4" thickTop="1">
      <c r="A130" s="599"/>
      <c r="B130" s="546">
        <f>B46</f>
        <v>0</v>
      </c>
      <c r="C130" s="554"/>
      <c r="D130" s="554"/>
      <c r="E130" s="554"/>
      <c r="F130" s="554"/>
      <c r="G130" s="587"/>
      <c r="H130" s="587"/>
      <c r="I130" s="587"/>
      <c r="J130" s="587"/>
      <c r="K130" s="523"/>
      <c r="L130" s="524"/>
      <c r="M130" s="590"/>
      <c r="N130" s="1152"/>
      <c r="O130" s="1152"/>
      <c r="P130" s="2625"/>
      <c r="Q130" s="504"/>
    </row>
    <row r="131" spans="1:17" ht="14.4"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2607</v>
      </c>
    </row>
    <row r="137" spans="1:17" ht="15">
      <c r="B137" s="2633" t="s">
        <v>2608</v>
      </c>
      <c r="C137" s="2634"/>
      <c r="D137" s="2634"/>
      <c r="E137" s="2634"/>
      <c r="F137" s="2634"/>
      <c r="G137" s="2635"/>
      <c r="H137" s="2636"/>
      <c r="I137" s="2637" t="s">
        <v>2609</v>
      </c>
      <c r="J137" s="2634"/>
      <c r="K137" s="2638"/>
    </row>
    <row r="138" spans="1:17" ht="15">
      <c r="B138" s="2639"/>
      <c r="C138" s="146" t="s">
        <v>2610</v>
      </c>
      <c r="D138" s="146" t="s">
        <v>2611</v>
      </c>
      <c r="E138" s="2640" t="s">
        <v>2612</v>
      </c>
      <c r="F138" s="2641" t="s">
        <v>2613</v>
      </c>
      <c r="G138" s="146" t="s">
        <v>2611</v>
      </c>
      <c r="H138" s="147" t="s">
        <v>2612</v>
      </c>
      <c r="I138" s="2642"/>
      <c r="J138" s="146" t="s">
        <v>2614</v>
      </c>
      <c r="K138" s="147" t="s">
        <v>2615</v>
      </c>
    </row>
    <row r="139" spans="1:17" ht="15">
      <c r="B139" s="1084">
        <v>6</v>
      </c>
      <c r="C139" s="1085">
        <v>96</v>
      </c>
      <c r="D139" s="2643" t="s">
        <v>2616</v>
      </c>
      <c r="E139" s="1086">
        <v>100</v>
      </c>
      <c r="F139" s="1087">
        <v>102.5</v>
      </c>
      <c r="G139" s="2643" t="s">
        <v>2616</v>
      </c>
      <c r="H139" s="1088">
        <v>105</v>
      </c>
      <c r="I139" s="2644" t="s">
        <v>2617</v>
      </c>
      <c r="J139" s="1085">
        <v>20</v>
      </c>
      <c r="K139" s="1089">
        <f>C145/(J139-2)</f>
        <v>4.0555555555555553E-3</v>
      </c>
    </row>
    <row r="140" spans="1:17" ht="15">
      <c r="B140" s="1090">
        <v>5</v>
      </c>
      <c r="C140" s="1091">
        <v>100</v>
      </c>
      <c r="D140" s="1091"/>
      <c r="E140" s="1092"/>
      <c r="F140" s="1093">
        <v>102</v>
      </c>
      <c r="G140" s="1091"/>
      <c r="H140" s="1094"/>
      <c r="I140" s="2645" t="s">
        <v>2618</v>
      </c>
      <c r="J140" s="315">
        <f>ROUNDUP((J139-1)/2,0)</f>
        <v>10</v>
      </c>
      <c r="K140" s="1095">
        <v>100</v>
      </c>
    </row>
    <row r="141" spans="1:17" ht="15">
      <c r="B141" s="1090">
        <v>4</v>
      </c>
      <c r="C141" s="1091">
        <v>102</v>
      </c>
      <c r="D141" s="1091"/>
      <c r="E141" s="1092"/>
      <c r="F141" s="1093">
        <v>101.5</v>
      </c>
      <c r="G141" s="1091"/>
      <c r="H141" s="1094"/>
      <c r="I141" s="2645" t="s">
        <v>2619</v>
      </c>
      <c r="J141" s="315">
        <v>1</v>
      </c>
      <c r="K141" s="1096">
        <f>ROUND(100+(J141-J140)*K139*100,1)</f>
        <v>96.4</v>
      </c>
    </row>
    <row r="142" spans="1:17" ht="15">
      <c r="B142" s="1090">
        <v>3</v>
      </c>
      <c r="C142" s="1091">
        <v>103</v>
      </c>
      <c r="D142" s="1091"/>
      <c r="E142" s="1092"/>
      <c r="F142" s="1093">
        <v>101</v>
      </c>
      <c r="G142" s="1091"/>
      <c r="H142" s="1094"/>
      <c r="I142" s="2645" t="s">
        <v>2620</v>
      </c>
      <c r="J142" s="315">
        <f>J139</f>
        <v>20</v>
      </c>
      <c r="K142" s="1097">
        <v>95</v>
      </c>
    </row>
    <row r="143" spans="1:17" ht="15">
      <c r="B143" s="1090">
        <v>2</v>
      </c>
      <c r="C143" s="1091">
        <v>100</v>
      </c>
      <c r="D143" s="1091"/>
      <c r="E143" s="1092"/>
      <c r="F143" s="1093">
        <v>100.5</v>
      </c>
      <c r="G143" s="1091"/>
      <c r="H143" s="1094"/>
      <c r="I143" s="2645" t="s">
        <v>2621</v>
      </c>
      <c r="J143" s="1091">
        <v>15</v>
      </c>
      <c r="K143" s="1096">
        <f>ROUND(100+(J143-J140)*K139*100,1)</f>
        <v>102</v>
      </c>
    </row>
    <row r="144" spans="1:17" ht="15">
      <c r="B144" s="1090">
        <v>1</v>
      </c>
      <c r="C144" s="1091">
        <v>98</v>
      </c>
      <c r="D144" s="2646" t="s">
        <v>2622</v>
      </c>
      <c r="E144" s="1092">
        <v>102</v>
      </c>
      <c r="F144" s="1098">
        <v>100</v>
      </c>
      <c r="G144" s="2646" t="s">
        <v>2622</v>
      </c>
      <c r="H144" s="1094">
        <v>105</v>
      </c>
      <c r="I144" s="2645" t="s">
        <v>2621</v>
      </c>
      <c r="J144" s="1091">
        <v>18</v>
      </c>
      <c r="K144" s="1096">
        <f>ROUND(100+(J144-J140)*K139*100,1)</f>
        <v>103.2</v>
      </c>
    </row>
    <row r="145" spans="2:11" ht="16.2" thickBot="1">
      <c r="B145" s="2647" t="s">
        <v>2623</v>
      </c>
      <c r="C145" s="1099">
        <f>ROUND(MAX(C139:C144)/MIN(C139:C144)-1,3)</f>
        <v>7.2999999999999995E-2</v>
      </c>
      <c r="D145" s="1100"/>
      <c r="E145" s="1100"/>
      <c r="F145" s="2648" t="s">
        <v>2624</v>
      </c>
      <c r="G145" s="2649"/>
      <c r="H145" s="2650"/>
      <c r="I145" s="2651" t="s">
        <v>2621</v>
      </c>
      <c r="J145" s="1101">
        <v>8</v>
      </c>
      <c r="K145" s="1102">
        <f>ROUND(100+(J145-J140)*K139*100,1)</f>
        <v>99.2</v>
      </c>
    </row>
    <row r="147" spans="2:11" ht="14.4">
      <c r="B147" s="2632" t="s">
        <v>2625</v>
      </c>
    </row>
    <row r="148" spans="2:11" ht="14.4">
      <c r="B148" s="2632"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2514</v>
      </c>
      <c r="B1" s="2580" t="s">
        <v>2627</v>
      </c>
      <c r="C1" s="1634" t="s">
        <v>2516</v>
      </c>
      <c r="D1" s="1621"/>
      <c r="E1" s="2652"/>
      <c r="F1" s="2582"/>
      <c r="G1" s="1631" t="s">
        <v>2628</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2316</v>
      </c>
      <c r="B2" s="1418" t="e">
        <f ca="1">IF(C2="——",ROUND(C49*D3/10000,0),ROUND(C49*D3/10000,0)-D2)</f>
        <v>#DIV/0!</v>
      </c>
      <c r="C2" s="2584"/>
      <c r="D2" s="1365" t="e">
        <f ca="1">SUMIF(INDIRECT("'"&amp;F2&amp;"'"&amp;"!A:A"),"承租人权益价值",INDIRECT("'"&amp;F2&amp;"'"&amp;"!c:c"))</f>
        <v>#REF!</v>
      </c>
      <c r="E2" s="2585" t="s">
        <v>2317</v>
      </c>
      <c r="F2" s="2586"/>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t="e">
        <f ca="1">IF(C2="——",C49,ROUND(B2*10000/D3,0))</f>
        <v>#DIV/0!</v>
      </c>
      <c r="C3" s="400" t="s">
        <v>2629</v>
      </c>
      <c r="D3" s="399">
        <f>IF(D1="",'数据-汇总表'!E3,SUMIF('数据-汇总表'!$C19:$C33,D1,'数据-汇总表'!$E19:$E33))</f>
        <v>55474.460000000014</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4.4">
      <c r="A4" s="401" t="s">
        <v>2630</v>
      </c>
      <c r="B4" s="402"/>
      <c r="C4" s="3284" t="s">
        <v>2631</v>
      </c>
      <c r="D4" s="3285"/>
      <c r="E4" s="3286" t="s">
        <v>2632</v>
      </c>
      <c r="F4" s="3287"/>
      <c r="G4" s="3284" t="s">
        <v>2633</v>
      </c>
      <c r="H4" s="3285"/>
      <c r="I4" s="3284" t="s">
        <v>2634</v>
      </c>
      <c r="J4" s="3285"/>
      <c r="K4" s="610" t="s">
        <v>2635</v>
      </c>
      <c r="L4" s="1130"/>
      <c r="M4" s="1131"/>
      <c r="N4" s="1131"/>
      <c r="O4" s="1131"/>
      <c r="P4" s="3288" t="s">
        <v>2636</v>
      </c>
      <c r="Q4" s="3289"/>
      <c r="R4" s="3271" t="s">
        <v>2632</v>
      </c>
      <c r="S4" s="3272"/>
      <c r="T4" s="3271" t="s">
        <v>2633</v>
      </c>
      <c r="U4" s="3272"/>
      <c r="V4" s="3296" t="s">
        <v>2634</v>
      </c>
      <c r="W4" s="3296"/>
      <c r="X4" s="1813"/>
      <c r="Y4" s="3271" t="s">
        <v>2636</v>
      </c>
      <c r="Z4" s="3272"/>
      <c r="AA4" s="3266" t="s">
        <v>2632</v>
      </c>
      <c r="AB4" s="3296" t="s">
        <v>2633</v>
      </c>
      <c r="AC4" s="3266" t="s">
        <v>2634</v>
      </c>
    </row>
    <row r="5" spans="1:29">
      <c r="A5" s="404"/>
      <c r="B5" s="405"/>
      <c r="C5" s="3357" t="s">
        <v>2528</v>
      </c>
      <c r="D5" s="3358"/>
      <c r="E5" s="3355" t="s">
        <v>2529</v>
      </c>
      <c r="F5" s="3356"/>
      <c r="G5" s="3357" t="s">
        <v>2530</v>
      </c>
      <c r="H5" s="3358"/>
      <c r="I5" s="3357" t="s">
        <v>2531</v>
      </c>
      <c r="J5" s="3358"/>
      <c r="K5" s="610"/>
      <c r="L5" s="1130"/>
      <c r="M5" s="1131"/>
      <c r="N5" s="1131"/>
      <c r="O5" s="1131"/>
      <c r="P5" s="3290"/>
      <c r="Q5" s="3291"/>
      <c r="R5" s="3273"/>
      <c r="S5" s="3274"/>
      <c r="T5" s="3273"/>
      <c r="U5" s="3274"/>
      <c r="V5" s="3296"/>
      <c r="W5" s="3296"/>
      <c r="X5" s="1813"/>
      <c r="Y5" s="3273"/>
      <c r="Z5" s="3274"/>
      <c r="AA5" s="3267"/>
      <c r="AB5" s="3296"/>
      <c r="AC5" s="3267"/>
    </row>
    <row r="6" spans="1:29" ht="15" thickBot="1">
      <c r="A6" s="406"/>
      <c r="B6" s="407"/>
      <c r="C6" s="3359" t="s">
        <v>2532</v>
      </c>
      <c r="D6" s="3360"/>
      <c r="E6" s="3361" t="s">
        <v>2532</v>
      </c>
      <c r="F6" s="3362"/>
      <c r="G6" s="3359" t="s">
        <v>2532</v>
      </c>
      <c r="H6" s="3360"/>
      <c r="I6" s="3359" t="s">
        <v>2532</v>
      </c>
      <c r="J6" s="3360"/>
      <c r="K6" s="610" t="s">
        <v>2533</v>
      </c>
      <c r="L6" s="1130"/>
      <c r="M6" s="1131"/>
      <c r="N6" s="1131"/>
      <c r="O6" s="1131"/>
      <c r="P6" s="3292"/>
      <c r="Q6" s="3293"/>
      <c r="R6" s="3273"/>
      <c r="S6" s="3274"/>
      <c r="T6" s="3294"/>
      <c r="U6" s="3295"/>
      <c r="V6" s="3296"/>
      <c r="W6" s="3296"/>
      <c r="X6" s="1813"/>
      <c r="Y6" s="3294"/>
      <c r="Z6" s="3295"/>
      <c r="AA6" s="3268"/>
      <c r="AB6" s="3296"/>
      <c r="AC6" s="3268"/>
    </row>
    <row r="7" spans="1:29" s="117" customFormat="1" ht="15" thickBot="1">
      <c r="A7" s="408" t="s">
        <v>2534</v>
      </c>
      <c r="B7" s="409"/>
      <c r="C7" s="410">
        <f>'数据-取费表'!B2</f>
        <v>43724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9" t="s">
        <v>2535</v>
      </c>
      <c r="Q7" s="3297"/>
      <c r="R7" s="770" t="s">
        <v>17</v>
      </c>
      <c r="S7" s="771">
        <f t="shared" ref="S7:S15" si="0">F7</f>
        <v>0</v>
      </c>
      <c r="T7" s="770" t="s">
        <v>17</v>
      </c>
      <c r="U7" s="771">
        <f t="shared" ref="U7:U15" si="1">H7</f>
        <v>0</v>
      </c>
      <c r="V7" s="770" t="s">
        <v>17</v>
      </c>
      <c r="W7" s="771">
        <f t="shared" ref="W7:W15" si="2">J7</f>
        <v>0</v>
      </c>
      <c r="X7" s="772"/>
      <c r="Y7" s="3269" t="s">
        <v>2535</v>
      </c>
      <c r="Z7" s="3270"/>
      <c r="AA7" s="773" t="e">
        <f>D7/F7</f>
        <v>#DIV/0!</v>
      </c>
      <c r="AB7" s="773" t="e">
        <f>D7/H7</f>
        <v>#DIV/0!</v>
      </c>
      <c r="AC7" s="773" t="e">
        <f>D7/J7</f>
        <v>#DIV/0!</v>
      </c>
    </row>
    <row r="8" spans="1:29" s="117" customFormat="1" ht="15" thickBot="1">
      <c r="A8" s="408" t="s">
        <v>2536</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9" t="s">
        <v>2538</v>
      </c>
      <c r="Q8" s="3270"/>
      <c r="R8" s="770" t="s">
        <v>17</v>
      </c>
      <c r="S8" s="771">
        <f t="shared" si="0"/>
        <v>0</v>
      </c>
      <c r="T8" s="770" t="s">
        <v>17</v>
      </c>
      <c r="U8" s="771">
        <f t="shared" si="1"/>
        <v>0</v>
      </c>
      <c r="V8" s="770" t="s">
        <v>17</v>
      </c>
      <c r="W8" s="771">
        <f t="shared" si="2"/>
        <v>0</v>
      </c>
      <c r="X8" s="772"/>
      <c r="Y8" s="3269" t="s">
        <v>2538</v>
      </c>
      <c r="Z8" s="3270"/>
      <c r="AA8" s="773" t="e">
        <f t="shared" ref="AA8:AA46" si="3">D8/F8</f>
        <v>#DIV/0!</v>
      </c>
      <c r="AB8" s="773" t="e">
        <f t="shared" ref="AB8:AB46" si="4">D8/H8</f>
        <v>#DIV/0!</v>
      </c>
      <c r="AC8" s="773" t="e">
        <f t="shared" ref="AC8:AC46" si="5">D8/J8</f>
        <v>#DIV/0!</v>
      </c>
    </row>
    <row r="9" spans="1:29" s="117" customFormat="1" ht="14.4">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07" t="s">
        <v>2541</v>
      </c>
      <c r="Q9" s="1795" t="str">
        <f t="shared" ref="Q9:Q15" si="6">B9</f>
        <v>用途</v>
      </c>
      <c r="R9" s="770" t="s">
        <v>17</v>
      </c>
      <c r="S9" s="771">
        <f t="shared" si="0"/>
        <v>100</v>
      </c>
      <c r="T9" s="770" t="s">
        <v>17</v>
      </c>
      <c r="U9" s="771">
        <f t="shared" si="1"/>
        <v>100</v>
      </c>
      <c r="V9" s="770" t="s">
        <v>17</v>
      </c>
      <c r="W9" s="771">
        <f t="shared" si="2"/>
        <v>100</v>
      </c>
      <c r="X9" s="772"/>
      <c r="Y9" s="3143" t="s">
        <v>2542</v>
      </c>
      <c r="Z9" s="55" t="str">
        <f t="shared" ref="Z9:Z15" si="7">Q9</f>
        <v>用途</v>
      </c>
      <c r="AA9" s="773">
        <f t="shared" si="3"/>
        <v>1</v>
      </c>
      <c r="AB9" s="773">
        <f t="shared" si="4"/>
        <v>1</v>
      </c>
      <c r="AC9" s="773">
        <f t="shared" si="5"/>
        <v>1</v>
      </c>
    </row>
    <row r="10" spans="1:29" s="427" customFormat="1" ht="28.8">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07"/>
      <c r="Q10" s="1795" t="str">
        <f t="shared" si="6"/>
        <v>土地使用年限（年）</v>
      </c>
      <c r="R10" s="770" t="s">
        <v>17</v>
      </c>
      <c r="S10" s="771">
        <f t="shared" si="0"/>
        <v>100</v>
      </c>
      <c r="T10" s="770" t="s">
        <v>17</v>
      </c>
      <c r="U10" s="771">
        <f t="shared" si="1"/>
        <v>100</v>
      </c>
      <c r="V10" s="770" t="s">
        <v>17</v>
      </c>
      <c r="W10" s="771">
        <f t="shared" si="2"/>
        <v>100</v>
      </c>
      <c r="X10" s="772"/>
      <c r="Y10" s="3143"/>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07"/>
      <c r="Q11" s="1795" t="str">
        <f t="shared" si="6"/>
        <v>容积率</v>
      </c>
      <c r="R11" s="770" t="s">
        <v>17</v>
      </c>
      <c r="S11" s="771" t="e">
        <f t="shared" si="0"/>
        <v>#N/A</v>
      </c>
      <c r="T11" s="770" t="s">
        <v>17</v>
      </c>
      <c r="U11" s="771" t="e">
        <f t="shared" si="1"/>
        <v>#N/A</v>
      </c>
      <c r="V11" s="770" t="s">
        <v>17</v>
      </c>
      <c r="W11" s="771" t="e">
        <f t="shared" si="2"/>
        <v>#N/A</v>
      </c>
      <c r="X11" s="772"/>
      <c r="Y11" s="314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07"/>
      <c r="Q12" s="1795">
        <f t="shared" si="6"/>
        <v>111</v>
      </c>
      <c r="R12" s="770" t="s">
        <v>17</v>
      </c>
      <c r="S12" s="771">
        <f t="shared" si="0"/>
        <v>100</v>
      </c>
      <c r="T12" s="770" t="s">
        <v>17</v>
      </c>
      <c r="U12" s="771">
        <f t="shared" si="1"/>
        <v>100</v>
      </c>
      <c r="V12" s="770" t="s">
        <v>17</v>
      </c>
      <c r="W12" s="771">
        <f t="shared" si="2"/>
        <v>100</v>
      </c>
      <c r="X12" s="772"/>
      <c r="Y12" s="314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07"/>
      <c r="Q13" s="1795">
        <f t="shared" si="6"/>
        <v>111</v>
      </c>
      <c r="R13" s="770" t="s">
        <v>17</v>
      </c>
      <c r="S13" s="771">
        <f t="shared" si="0"/>
        <v>100</v>
      </c>
      <c r="T13" s="770" t="s">
        <v>17</v>
      </c>
      <c r="U13" s="771">
        <f t="shared" si="1"/>
        <v>100</v>
      </c>
      <c r="V13" s="770" t="s">
        <v>17</v>
      </c>
      <c r="W13" s="771">
        <f t="shared" si="2"/>
        <v>100</v>
      </c>
      <c r="X13" s="772"/>
      <c r="Y13" s="3143"/>
      <c r="Z13" s="55">
        <f t="shared" si="7"/>
        <v>111</v>
      </c>
      <c r="AA13" s="773">
        <f t="shared" si="3"/>
        <v>1</v>
      </c>
      <c r="AB13" s="773">
        <f t="shared" si="4"/>
        <v>1</v>
      </c>
      <c r="AC13" s="773">
        <f t="shared" si="5"/>
        <v>1</v>
      </c>
    </row>
    <row r="14" spans="1:29" ht="15.6"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07"/>
      <c r="Q14" s="1795">
        <f t="shared" si="6"/>
        <v>111</v>
      </c>
      <c r="R14" s="770" t="s">
        <v>17</v>
      </c>
      <c r="S14" s="771">
        <f t="shared" si="0"/>
        <v>100</v>
      </c>
      <c r="T14" s="770" t="s">
        <v>17</v>
      </c>
      <c r="U14" s="771">
        <f t="shared" si="1"/>
        <v>100</v>
      </c>
      <c r="V14" s="770" t="s">
        <v>17</v>
      </c>
      <c r="W14" s="771">
        <f t="shared" si="2"/>
        <v>100</v>
      </c>
      <c r="X14" s="772"/>
      <c r="Y14" s="3143"/>
      <c r="Z14" s="55">
        <f t="shared" si="7"/>
        <v>111</v>
      </c>
      <c r="AA14" s="773">
        <f t="shared" si="3"/>
        <v>1</v>
      </c>
      <c r="AB14" s="773">
        <f t="shared" si="4"/>
        <v>1</v>
      </c>
      <c r="AC14" s="773">
        <f t="shared" si="5"/>
        <v>1</v>
      </c>
    </row>
    <row r="15" spans="1:29" ht="15">
      <c r="A15" s="440" t="s">
        <v>2545</v>
      </c>
      <c r="B15" s="69" t="s">
        <v>2638</v>
      </c>
      <c r="C15" s="2600"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53" t="s">
        <v>2546</v>
      </c>
      <c r="Q15" s="1810" t="str">
        <f t="shared" si="6"/>
        <v>商业繁华度</v>
      </c>
      <c r="R15" s="774" t="s">
        <v>17</v>
      </c>
      <c r="S15" s="775">
        <f t="shared" si="0"/>
        <v>100</v>
      </c>
      <c r="T15" s="774" t="s">
        <v>17</v>
      </c>
      <c r="U15" s="775">
        <f t="shared" si="1"/>
        <v>100</v>
      </c>
      <c r="V15" s="774" t="s">
        <v>17</v>
      </c>
      <c r="W15" s="775">
        <f t="shared" si="2"/>
        <v>100</v>
      </c>
      <c r="X15" s="1813"/>
      <c r="Y15" s="3298"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54"/>
      <c r="Q16" s="1810"/>
      <c r="R16" s="774"/>
      <c r="S16" s="775"/>
      <c r="T16" s="774"/>
      <c r="U16" s="775"/>
      <c r="V16" s="774"/>
      <c r="W16" s="775"/>
      <c r="X16" s="1813"/>
      <c r="Y16" s="3299"/>
      <c r="Z16" s="1814"/>
      <c r="AA16" s="1811">
        <v>1</v>
      </c>
      <c r="AB16" s="1811">
        <v>1</v>
      </c>
      <c r="AC16" s="1811">
        <v>1</v>
      </c>
    </row>
    <row r="17" spans="1:29" ht="15">
      <c r="A17" s="428"/>
      <c r="B17" s="451" t="s">
        <v>2088</v>
      </c>
      <c r="C17" s="2604"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54"/>
      <c r="Q17" s="1810" t="str">
        <f>B17</f>
        <v>交通便捷度</v>
      </c>
      <c r="R17" s="774" t="s">
        <v>17</v>
      </c>
      <c r="S17" s="775">
        <f>F17</f>
        <v>100</v>
      </c>
      <c r="T17" s="774" t="s">
        <v>17</v>
      </c>
      <c r="U17" s="775">
        <f>H17</f>
        <v>100</v>
      </c>
      <c r="V17" s="774" t="s">
        <v>17</v>
      </c>
      <c r="W17" s="775">
        <f>J17</f>
        <v>100</v>
      </c>
      <c r="X17" s="1813"/>
      <c r="Y17" s="3299"/>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354"/>
      <c r="Q18" s="1810"/>
      <c r="R18" s="774"/>
      <c r="S18" s="775"/>
      <c r="T18" s="774"/>
      <c r="U18" s="775"/>
      <c r="V18" s="774"/>
      <c r="W18" s="775"/>
      <c r="X18" s="1813"/>
      <c r="Y18" s="3299"/>
      <c r="Z18" s="1814"/>
      <c r="AA18" s="1811">
        <v>1</v>
      </c>
      <c r="AB18" s="1811">
        <v>1</v>
      </c>
      <c r="AC18" s="1811">
        <v>1</v>
      </c>
    </row>
    <row r="19" spans="1:29" ht="15">
      <c r="A19" s="428"/>
      <c r="B19" s="451" t="s">
        <v>2639</v>
      </c>
      <c r="C19" s="2604"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54"/>
      <c r="Q19" s="1810" t="str">
        <f>B19</f>
        <v>公共配套设施</v>
      </c>
      <c r="R19" s="774" t="s">
        <v>17</v>
      </c>
      <c r="S19" s="775">
        <f>F19</f>
        <v>100</v>
      </c>
      <c r="T19" s="774" t="s">
        <v>17</v>
      </c>
      <c r="U19" s="775">
        <f>H19</f>
        <v>100</v>
      </c>
      <c r="V19" s="774" t="s">
        <v>17</v>
      </c>
      <c r="W19" s="775">
        <f>J19</f>
        <v>100</v>
      </c>
      <c r="X19" s="1813"/>
      <c r="Y19" s="3299"/>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354"/>
      <c r="Q20" s="1810"/>
      <c r="R20" s="774"/>
      <c r="S20" s="775"/>
      <c r="T20" s="774"/>
      <c r="U20" s="775"/>
      <c r="V20" s="774"/>
      <c r="W20" s="775"/>
      <c r="X20" s="1813"/>
      <c r="Y20" s="3299"/>
      <c r="Z20" s="1814"/>
      <c r="AA20" s="1811">
        <v>1</v>
      </c>
      <c r="AB20" s="1811">
        <v>1</v>
      </c>
      <c r="AC20" s="1811">
        <v>1</v>
      </c>
    </row>
    <row r="21" spans="1:29" ht="15">
      <c r="A21" s="428"/>
      <c r="B21" s="1384" t="s">
        <v>2640</v>
      </c>
      <c r="C21" s="2604"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54"/>
      <c r="Q21" s="1810" t="str">
        <f>B21</f>
        <v>基础设施水平</v>
      </c>
      <c r="R21" s="774" t="s">
        <v>17</v>
      </c>
      <c r="S21" s="775">
        <f>F21</f>
        <v>100</v>
      </c>
      <c r="T21" s="774" t="s">
        <v>17</v>
      </c>
      <c r="U21" s="775">
        <f>H21</f>
        <v>100</v>
      </c>
      <c r="V21" s="774" t="s">
        <v>17</v>
      </c>
      <c r="W21" s="775">
        <f>J21</f>
        <v>100</v>
      </c>
      <c r="X21" s="1813"/>
      <c r="Y21" s="3299"/>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354"/>
      <c r="Q22" s="1810"/>
      <c r="R22" s="774"/>
      <c r="S22" s="775"/>
      <c r="T22" s="774"/>
      <c r="U22" s="775"/>
      <c r="V22" s="774"/>
      <c r="W22" s="775"/>
      <c r="X22" s="1813"/>
      <c r="Y22" s="3299"/>
      <c r="Z22" s="1814"/>
      <c r="AA22" s="1811">
        <v>1</v>
      </c>
      <c r="AB22" s="1811">
        <v>1</v>
      </c>
      <c r="AC22" s="1811">
        <v>1</v>
      </c>
    </row>
    <row r="23" spans="1:29" ht="15">
      <c r="A23" s="428"/>
      <c r="B23" s="451" t="s">
        <v>2091</v>
      </c>
      <c r="C23" s="2659"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54"/>
      <c r="Q23" s="1810" t="str">
        <f>B23</f>
        <v>自然及人文环境</v>
      </c>
      <c r="R23" s="774" t="s">
        <v>17</v>
      </c>
      <c r="S23" s="775">
        <f>F23</f>
        <v>100</v>
      </c>
      <c r="T23" s="774" t="s">
        <v>17</v>
      </c>
      <c r="U23" s="775">
        <f>H23</f>
        <v>100</v>
      </c>
      <c r="V23" s="774" t="s">
        <v>17</v>
      </c>
      <c r="W23" s="775">
        <f>J23</f>
        <v>100</v>
      </c>
      <c r="X23" s="1813"/>
      <c r="Y23" s="3299"/>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354"/>
      <c r="Q24" s="1810"/>
      <c r="R24" s="774"/>
      <c r="S24" s="775"/>
      <c r="T24" s="774"/>
      <c r="U24" s="775"/>
      <c r="V24" s="774"/>
      <c r="W24" s="775"/>
      <c r="X24" s="1813"/>
      <c r="Y24" s="3299"/>
      <c r="Z24" s="1814"/>
      <c r="AA24" s="1811">
        <v>1</v>
      </c>
      <c r="AB24" s="1811">
        <v>1</v>
      </c>
      <c r="AC24" s="1811">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54"/>
      <c r="Q25" s="1810" t="str">
        <f t="shared" ref="Q25:Q46" si="11">B25</f>
        <v>临街状况</v>
      </c>
      <c r="R25" s="774" t="s">
        <v>17</v>
      </c>
      <c r="S25" s="775">
        <f>F25</f>
        <v>100</v>
      </c>
      <c r="T25" s="774" t="s">
        <v>17</v>
      </c>
      <c r="U25" s="775">
        <f>H25</f>
        <v>100</v>
      </c>
      <c r="V25" s="774" t="s">
        <v>17</v>
      </c>
      <c r="W25" s="775">
        <f>J25</f>
        <v>100</v>
      </c>
      <c r="X25" s="1813"/>
      <c r="Y25" s="3299"/>
      <c r="Z25" s="1814" t="str">
        <f>Q25</f>
        <v>临街状况</v>
      </c>
      <c r="AA25" s="1811">
        <f t="shared" si="3"/>
        <v>1</v>
      </c>
      <c r="AB25" s="1811">
        <f t="shared" si="4"/>
        <v>1</v>
      </c>
      <c r="AC25" s="1811">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54"/>
      <c r="Q26" s="1810" t="str">
        <f t="shared" si="11"/>
        <v>平面位置/可视性</v>
      </c>
      <c r="R26" s="774" t="s">
        <v>17</v>
      </c>
      <c r="S26" s="775">
        <f>F26</f>
        <v>100</v>
      </c>
      <c r="T26" s="774" t="s">
        <v>17</v>
      </c>
      <c r="U26" s="775">
        <f>H26</f>
        <v>100</v>
      </c>
      <c r="V26" s="774" t="s">
        <v>17</v>
      </c>
      <c r="W26" s="775">
        <f>J26</f>
        <v>100</v>
      </c>
      <c r="X26" s="1813"/>
      <c r="Y26" s="3299"/>
      <c r="Z26" s="1814" t="str">
        <f>Q26</f>
        <v>平面位置/可视性</v>
      </c>
      <c r="AA26" s="1811">
        <f t="shared" si="3"/>
        <v>1</v>
      </c>
      <c r="AB26" s="1811">
        <f t="shared" si="4"/>
        <v>1</v>
      </c>
      <c r="AC26" s="1811">
        <f t="shared" si="5"/>
        <v>1</v>
      </c>
    </row>
    <row r="27" spans="1:29" s="117" customFormat="1" ht="15">
      <c r="A27" s="431"/>
      <c r="B27" s="451" t="s">
        <v>2643</v>
      </c>
      <c r="C27" s="2660"/>
      <c r="D27" s="462">
        <v>100</v>
      </c>
      <c r="E27" s="2660"/>
      <c r="F27" s="464">
        <f>SUMIF(90:90,E27,91:91)-SUMIF(90:90,C27,91:91)+100</f>
        <v>100</v>
      </c>
      <c r="G27" s="2660"/>
      <c r="H27" s="462">
        <f>SUMIF(90:90,G27,91:91)-SUMIF(90:90,C27,91:91)+100</f>
        <v>100</v>
      </c>
      <c r="I27" s="2660"/>
      <c r="J27" s="462">
        <f>SUMIF(90:90,I27,91:91)-SUMIF(90:90,C27,91:91)+100</f>
        <v>100</v>
      </c>
      <c r="K27" s="612"/>
      <c r="L27" s="1132"/>
      <c r="M27" s="1133"/>
      <c r="N27" s="1133"/>
      <c r="O27" s="1133"/>
      <c r="P27" s="3354"/>
      <c r="Q27" s="1795" t="str">
        <f t="shared" si="11"/>
        <v>人流量</v>
      </c>
      <c r="R27" s="770" t="s">
        <v>17</v>
      </c>
      <c r="S27" s="771">
        <f>F27</f>
        <v>100</v>
      </c>
      <c r="T27" s="770" t="s">
        <v>17</v>
      </c>
      <c r="U27" s="771">
        <f>H27</f>
        <v>100</v>
      </c>
      <c r="V27" s="770" t="s">
        <v>17</v>
      </c>
      <c r="W27" s="771">
        <f>J27</f>
        <v>100</v>
      </c>
      <c r="X27" s="772"/>
      <c r="Y27" s="3299"/>
      <c r="Z27" s="55" t="str">
        <f>Q27</f>
        <v>人流量</v>
      </c>
      <c r="AA27" s="1811">
        <f>D27/F27</f>
        <v>1</v>
      </c>
      <c r="AB27" s="1811">
        <f>D27/H27</f>
        <v>1</v>
      </c>
      <c r="AC27" s="1811">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5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9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54"/>
      <c r="Q29" s="1810">
        <f t="shared" si="11"/>
        <v>111</v>
      </c>
      <c r="R29" s="774" t="s">
        <v>17</v>
      </c>
      <c r="S29" s="775">
        <f t="shared" si="12"/>
        <v>100</v>
      </c>
      <c r="T29" s="774" t="s">
        <v>17</v>
      </c>
      <c r="U29" s="775">
        <f t="shared" si="13"/>
        <v>100</v>
      </c>
      <c r="V29" s="774" t="s">
        <v>17</v>
      </c>
      <c r="W29" s="775">
        <f t="shared" si="14"/>
        <v>100</v>
      </c>
      <c r="X29" s="1813"/>
      <c r="Y29" s="329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54"/>
      <c r="Q30" s="1810">
        <f t="shared" si="11"/>
        <v>111</v>
      </c>
      <c r="R30" s="774" t="s">
        <v>17</v>
      </c>
      <c r="S30" s="775">
        <f t="shared" si="12"/>
        <v>100</v>
      </c>
      <c r="T30" s="774" t="s">
        <v>17</v>
      </c>
      <c r="U30" s="775">
        <f t="shared" si="13"/>
        <v>100</v>
      </c>
      <c r="V30" s="774" t="s">
        <v>17</v>
      </c>
      <c r="W30" s="775">
        <f t="shared" si="14"/>
        <v>100</v>
      </c>
      <c r="X30" s="1813"/>
      <c r="Y30" s="3299"/>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54"/>
      <c r="Q31" s="1810">
        <f t="shared" si="11"/>
        <v>111</v>
      </c>
      <c r="R31" s="774" t="s">
        <v>17</v>
      </c>
      <c r="S31" s="775">
        <f t="shared" si="12"/>
        <v>100</v>
      </c>
      <c r="T31" s="774" t="s">
        <v>17</v>
      </c>
      <c r="U31" s="775">
        <f t="shared" si="13"/>
        <v>100</v>
      </c>
      <c r="V31" s="774" t="s">
        <v>17</v>
      </c>
      <c r="W31" s="775">
        <f t="shared" si="14"/>
        <v>100</v>
      </c>
      <c r="X31" s="1813"/>
      <c r="Y31" s="3299"/>
      <c r="Z31" s="1814">
        <f t="shared" si="15"/>
        <v>111</v>
      </c>
      <c r="AA31" s="1811">
        <f t="shared" si="3"/>
        <v>1</v>
      </c>
      <c r="AB31" s="1811">
        <f t="shared" si="4"/>
        <v>1</v>
      </c>
      <c r="AC31" s="1811">
        <f t="shared" si="5"/>
        <v>1</v>
      </c>
    </row>
    <row r="32" spans="1:29" ht="15">
      <c r="A32" s="440" t="s">
        <v>2549</v>
      </c>
      <c r="B32" s="71" t="s">
        <v>2645</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349" t="s">
        <v>2551</v>
      </c>
      <c r="Q32" s="1810" t="str">
        <f t="shared" si="11"/>
        <v>商业类型</v>
      </c>
      <c r="R32" s="774" t="s">
        <v>17</v>
      </c>
      <c r="S32" s="775">
        <f t="shared" si="12"/>
        <v>100</v>
      </c>
      <c r="T32" s="774" t="s">
        <v>17</v>
      </c>
      <c r="U32" s="775">
        <f t="shared" si="13"/>
        <v>100</v>
      </c>
      <c r="V32" s="774" t="s">
        <v>17</v>
      </c>
      <c r="W32" s="775">
        <f t="shared" si="14"/>
        <v>100</v>
      </c>
      <c r="X32" s="1813"/>
      <c r="Y32" s="3301"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50"/>
      <c r="Q33" s="776" t="str">
        <f t="shared" si="11"/>
        <v>项目建筑规模</v>
      </c>
      <c r="R33" s="777" t="s">
        <v>17</v>
      </c>
      <c r="S33" s="778" t="e">
        <f t="shared" si="12"/>
        <v>#N/A</v>
      </c>
      <c r="T33" s="777" t="s">
        <v>17</v>
      </c>
      <c r="U33" s="778" t="e">
        <f t="shared" si="13"/>
        <v>#N/A</v>
      </c>
      <c r="V33" s="777" t="s">
        <v>17</v>
      </c>
      <c r="W33" s="778" t="e">
        <f t="shared" si="14"/>
        <v>#N/A</v>
      </c>
      <c r="X33" s="779"/>
      <c r="Y33" s="3301"/>
      <c r="Z33" s="780" t="str">
        <f t="shared" si="15"/>
        <v>项目建筑规模</v>
      </c>
      <c r="AA33" s="1811" t="e">
        <f t="shared" si="3"/>
        <v>#N/A</v>
      </c>
      <c r="AB33" s="1811" t="e">
        <f t="shared" si="4"/>
        <v>#N/A</v>
      </c>
      <c r="AC33" s="1811"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350"/>
      <c r="Q34" s="1810" t="str">
        <f t="shared" si="11"/>
        <v>建筑结构</v>
      </c>
      <c r="R34" s="774" t="s">
        <v>17</v>
      </c>
      <c r="S34" s="775">
        <f t="shared" si="12"/>
        <v>100</v>
      </c>
      <c r="T34" s="774" t="s">
        <v>17</v>
      </c>
      <c r="U34" s="775">
        <f t="shared" si="13"/>
        <v>100</v>
      </c>
      <c r="V34" s="774" t="s">
        <v>17</v>
      </c>
      <c r="W34" s="775">
        <f t="shared" si="14"/>
        <v>100</v>
      </c>
      <c r="X34" s="1813"/>
      <c r="Y34" s="3301"/>
      <c r="Z34" s="1814" t="str">
        <f t="shared" si="15"/>
        <v>建筑结构</v>
      </c>
      <c r="AA34" s="1811">
        <f t="shared" si="3"/>
        <v>1</v>
      </c>
      <c r="AB34" s="1811">
        <f t="shared" si="4"/>
        <v>1</v>
      </c>
      <c r="AC34" s="1811">
        <f t="shared" si="5"/>
        <v>1</v>
      </c>
    </row>
    <row r="35" spans="1:29" ht="15">
      <c r="A35" s="472"/>
      <c r="B35" s="422" t="s">
        <v>2646</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350"/>
      <c r="Q35" s="1810" t="str">
        <f t="shared" si="11"/>
        <v>公共部分装修</v>
      </c>
      <c r="R35" s="774" t="s">
        <v>17</v>
      </c>
      <c r="S35" s="775">
        <f t="shared" si="12"/>
        <v>100</v>
      </c>
      <c r="T35" s="774" t="s">
        <v>17</v>
      </c>
      <c r="U35" s="775">
        <f t="shared" si="13"/>
        <v>100</v>
      </c>
      <c r="V35" s="774" t="s">
        <v>17</v>
      </c>
      <c r="W35" s="775">
        <f t="shared" si="14"/>
        <v>100</v>
      </c>
      <c r="X35" s="1813"/>
      <c r="Y35" s="3301"/>
      <c r="Z35" s="1814" t="str">
        <f t="shared" si="15"/>
        <v>公共部分装修</v>
      </c>
      <c r="AA35" s="1811">
        <f t="shared" si="3"/>
        <v>1</v>
      </c>
      <c r="AB35" s="1811">
        <f t="shared" si="4"/>
        <v>1</v>
      </c>
      <c r="AC35" s="1811">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50"/>
      <c r="Q36" s="1810" t="str">
        <f t="shared" si="11"/>
        <v>成新度</v>
      </c>
      <c r="R36" s="774" t="s">
        <v>17</v>
      </c>
      <c r="S36" s="775" t="e">
        <f t="shared" si="12"/>
        <v>#N/A</v>
      </c>
      <c r="T36" s="774" t="s">
        <v>17</v>
      </c>
      <c r="U36" s="775" t="e">
        <f t="shared" si="13"/>
        <v>#N/A</v>
      </c>
      <c r="V36" s="774" t="s">
        <v>17</v>
      </c>
      <c r="W36" s="775" t="e">
        <f t="shared" si="14"/>
        <v>#N/A</v>
      </c>
      <c r="X36" s="1813"/>
      <c r="Y36" s="3301"/>
      <c r="Z36" s="1814" t="str">
        <f t="shared" si="15"/>
        <v>成新度</v>
      </c>
      <c r="AA36" s="1811" t="e">
        <f t="shared" si="3"/>
        <v>#N/A</v>
      </c>
      <c r="AB36" s="1811" t="e">
        <f t="shared" si="4"/>
        <v>#N/A</v>
      </c>
      <c r="AC36" s="1811" t="e">
        <f t="shared" si="5"/>
        <v>#N/A</v>
      </c>
    </row>
    <row r="37" spans="1:29" s="117" customFormat="1" ht="15">
      <c r="A37" s="473"/>
      <c r="B37" s="422" t="s">
        <v>2648</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350"/>
      <c r="Q37" s="1795" t="str">
        <f t="shared" si="11"/>
        <v>市政基础设施</v>
      </c>
      <c r="R37" s="770" t="s">
        <v>17</v>
      </c>
      <c r="S37" s="771">
        <f t="shared" si="12"/>
        <v>100</v>
      </c>
      <c r="T37" s="770" t="s">
        <v>17</v>
      </c>
      <c r="U37" s="771">
        <f t="shared" si="13"/>
        <v>100</v>
      </c>
      <c r="V37" s="770" t="s">
        <v>17</v>
      </c>
      <c r="W37" s="771">
        <f t="shared" si="14"/>
        <v>100</v>
      </c>
      <c r="X37" s="772"/>
      <c r="Y37" s="3301"/>
      <c r="Z37" s="55" t="str">
        <f t="shared" si="15"/>
        <v>市政基础设施</v>
      </c>
      <c r="AA37" s="773">
        <f t="shared" si="3"/>
        <v>1</v>
      </c>
      <c r="AB37" s="773">
        <f t="shared" si="4"/>
        <v>1</v>
      </c>
      <c r="AC37" s="773">
        <f t="shared" si="5"/>
        <v>1</v>
      </c>
    </row>
    <row r="38" spans="1:29" ht="15">
      <c r="A38" s="472"/>
      <c r="B38" s="422" t="s">
        <v>2649</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350" t="s">
        <v>2551</v>
      </c>
      <c r="Q38" s="1810" t="str">
        <f t="shared" si="11"/>
        <v>业态</v>
      </c>
      <c r="R38" s="774" t="s">
        <v>17</v>
      </c>
      <c r="S38" s="775">
        <f t="shared" si="12"/>
        <v>100</v>
      </c>
      <c r="T38" s="774" t="s">
        <v>17</v>
      </c>
      <c r="U38" s="775">
        <f t="shared" si="13"/>
        <v>100</v>
      </c>
      <c r="V38" s="774" t="s">
        <v>17</v>
      </c>
      <c r="W38" s="775">
        <f t="shared" si="14"/>
        <v>100</v>
      </c>
      <c r="X38" s="1813"/>
      <c r="Y38" s="3301" t="s">
        <v>2551</v>
      </c>
      <c r="Z38" s="1814" t="str">
        <f t="shared" si="15"/>
        <v>业态</v>
      </c>
      <c r="AA38" s="1811">
        <f t="shared" si="3"/>
        <v>1</v>
      </c>
      <c r="AB38" s="1811">
        <f t="shared" si="4"/>
        <v>1</v>
      </c>
      <c r="AC38" s="1811">
        <f t="shared" si="5"/>
        <v>1</v>
      </c>
    </row>
    <row r="39" spans="1:29" ht="15">
      <c r="A39" s="472"/>
      <c r="B39" s="422" t="s">
        <v>2650</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350"/>
      <c r="Q39" s="1810" t="str">
        <f t="shared" si="11"/>
        <v>层高</v>
      </c>
      <c r="R39" s="774" t="s">
        <v>17</v>
      </c>
      <c r="S39" s="775">
        <f t="shared" si="12"/>
        <v>100</v>
      </c>
      <c r="T39" s="774" t="s">
        <v>17</v>
      </c>
      <c r="U39" s="775">
        <f t="shared" si="13"/>
        <v>100</v>
      </c>
      <c r="V39" s="774" t="s">
        <v>17</v>
      </c>
      <c r="W39" s="775">
        <f t="shared" si="14"/>
        <v>100</v>
      </c>
      <c r="X39" s="1813"/>
      <c r="Y39" s="3301"/>
      <c r="Z39" s="1814" t="str">
        <f t="shared" si="15"/>
        <v>层高</v>
      </c>
      <c r="AA39" s="1811">
        <f t="shared" si="3"/>
        <v>1</v>
      </c>
      <c r="AB39" s="1811">
        <f t="shared" si="4"/>
        <v>1</v>
      </c>
      <c r="AC39" s="1811">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50"/>
      <c r="Q40" s="1810" t="str">
        <f t="shared" si="11"/>
        <v>单套建筑面积</v>
      </c>
      <c r="R40" s="774" t="s">
        <v>17</v>
      </c>
      <c r="S40" s="775">
        <f t="shared" si="12"/>
        <v>100</v>
      </c>
      <c r="T40" s="774" t="s">
        <v>17</v>
      </c>
      <c r="U40" s="775">
        <f t="shared" si="13"/>
        <v>100</v>
      </c>
      <c r="V40" s="774" t="s">
        <v>17</v>
      </c>
      <c r="W40" s="775">
        <f t="shared" si="14"/>
        <v>100</v>
      </c>
      <c r="X40" s="1813"/>
      <c r="Y40" s="3301"/>
      <c r="Z40" s="1814" t="str">
        <f t="shared" si="15"/>
        <v>单套建筑面积</v>
      </c>
      <c r="AA40" s="1811">
        <f t="shared" si="3"/>
        <v>1</v>
      </c>
      <c r="AB40" s="1811">
        <f t="shared" si="4"/>
        <v>1</v>
      </c>
      <c r="AC40" s="1811">
        <f t="shared" si="5"/>
        <v>1</v>
      </c>
    </row>
    <row r="41" spans="1:29" s="471" customFormat="1" ht="15">
      <c r="A41" s="468"/>
      <c r="B41" s="1812"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50"/>
      <c r="Q41" s="776" t="str">
        <f t="shared" si="11"/>
        <v>进深比</v>
      </c>
      <c r="R41" s="777" t="s">
        <v>17</v>
      </c>
      <c r="S41" s="778">
        <f t="shared" si="12"/>
        <v>100</v>
      </c>
      <c r="T41" s="777" t="s">
        <v>17</v>
      </c>
      <c r="U41" s="778">
        <f t="shared" si="13"/>
        <v>100</v>
      </c>
      <c r="V41" s="777" t="s">
        <v>17</v>
      </c>
      <c r="W41" s="778">
        <f t="shared" si="14"/>
        <v>100</v>
      </c>
      <c r="X41" s="779"/>
      <c r="Y41" s="3301"/>
      <c r="Z41" s="780" t="str">
        <f t="shared" si="15"/>
        <v>进深比</v>
      </c>
      <c r="AA41" s="1811">
        <f t="shared" si="3"/>
        <v>1</v>
      </c>
      <c r="AB41" s="1811">
        <f t="shared" si="4"/>
        <v>1</v>
      </c>
      <c r="AC41" s="1811">
        <f t="shared" si="5"/>
        <v>1</v>
      </c>
    </row>
    <row r="42" spans="1:29" ht="15">
      <c r="A42" s="472"/>
      <c r="B42" s="422" t="s">
        <v>2653</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350"/>
      <c r="Q42" s="1810" t="str">
        <f t="shared" si="11"/>
        <v>内部装修</v>
      </c>
      <c r="R42" s="774" t="s">
        <v>17</v>
      </c>
      <c r="S42" s="775">
        <f t="shared" si="12"/>
        <v>100</v>
      </c>
      <c r="T42" s="774" t="s">
        <v>17</v>
      </c>
      <c r="U42" s="775">
        <f t="shared" si="13"/>
        <v>100</v>
      </c>
      <c r="V42" s="774" t="s">
        <v>17</v>
      </c>
      <c r="W42" s="775">
        <f t="shared" si="14"/>
        <v>100</v>
      </c>
      <c r="X42" s="1813"/>
      <c r="Y42" s="3301"/>
      <c r="Z42" s="1814" t="str">
        <f t="shared" si="15"/>
        <v>内部装修</v>
      </c>
      <c r="AA42" s="1811">
        <f t="shared" si="3"/>
        <v>1</v>
      </c>
      <c r="AB42" s="1811">
        <f t="shared" si="4"/>
        <v>1</v>
      </c>
      <c r="AC42" s="1811">
        <f t="shared" si="5"/>
        <v>1</v>
      </c>
    </row>
    <row r="43" spans="1:29" ht="28.8">
      <c r="A43" s="472"/>
      <c r="B43" s="422" t="s">
        <v>2562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350"/>
      <c r="Q43" s="1810" t="str">
        <f t="shared" si="11"/>
        <v>内部装修维护情况</v>
      </c>
      <c r="R43" s="774" t="s">
        <v>17</v>
      </c>
      <c r="S43" s="775">
        <f t="shared" si="12"/>
        <v>100</v>
      </c>
      <c r="T43" s="774" t="s">
        <v>17</v>
      </c>
      <c r="U43" s="775">
        <f t="shared" si="13"/>
        <v>100</v>
      </c>
      <c r="V43" s="774" t="s">
        <v>17</v>
      </c>
      <c r="W43" s="775">
        <f t="shared" si="14"/>
        <v>100</v>
      </c>
      <c r="X43" s="1813"/>
      <c r="Y43" s="330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50"/>
      <c r="Q44" s="1795">
        <f t="shared" si="11"/>
        <v>111</v>
      </c>
      <c r="R44" s="770" t="s">
        <v>17</v>
      </c>
      <c r="S44" s="771">
        <f t="shared" si="12"/>
        <v>100</v>
      </c>
      <c r="T44" s="770" t="s">
        <v>17</v>
      </c>
      <c r="U44" s="771">
        <f t="shared" si="13"/>
        <v>100</v>
      </c>
      <c r="V44" s="770" t="s">
        <v>17</v>
      </c>
      <c r="W44" s="771">
        <f t="shared" si="14"/>
        <v>100</v>
      </c>
      <c r="X44" s="772"/>
      <c r="Y44" s="330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50"/>
      <c r="Q45" s="1810">
        <f t="shared" si="11"/>
        <v>111</v>
      </c>
      <c r="R45" s="774" t="s">
        <v>17</v>
      </c>
      <c r="S45" s="775">
        <f t="shared" si="12"/>
        <v>100</v>
      </c>
      <c r="T45" s="774" t="s">
        <v>17</v>
      </c>
      <c r="U45" s="775">
        <f t="shared" si="13"/>
        <v>100</v>
      </c>
      <c r="V45" s="774" t="s">
        <v>17</v>
      </c>
      <c r="W45" s="775">
        <f t="shared" si="14"/>
        <v>100</v>
      </c>
      <c r="X45" s="1813"/>
      <c r="Y45" s="3301"/>
      <c r="Z45" s="1814">
        <f t="shared" si="15"/>
        <v>111</v>
      </c>
      <c r="AA45" s="1811">
        <f t="shared" si="3"/>
        <v>1</v>
      </c>
      <c r="AB45" s="1811">
        <f t="shared" si="4"/>
        <v>1</v>
      </c>
      <c r="AC45" s="1811">
        <f t="shared" si="5"/>
        <v>1</v>
      </c>
    </row>
    <row r="46" spans="1:29" ht="15.6"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51"/>
      <c r="Q46" s="1810">
        <f t="shared" si="11"/>
        <v>111</v>
      </c>
      <c r="R46" s="774" t="s">
        <v>17</v>
      </c>
      <c r="S46" s="775">
        <f t="shared" si="12"/>
        <v>100</v>
      </c>
      <c r="T46" s="774" t="s">
        <v>17</v>
      </c>
      <c r="U46" s="775">
        <f t="shared" si="13"/>
        <v>100</v>
      </c>
      <c r="V46" s="774" t="s">
        <v>17</v>
      </c>
      <c r="W46" s="775">
        <f t="shared" si="14"/>
        <v>100</v>
      </c>
      <c r="X46" s="1813"/>
      <c r="Y46" s="3352"/>
      <c r="Z46" s="1814">
        <f t="shared" si="15"/>
        <v>111</v>
      </c>
      <c r="AA46" s="1811">
        <f t="shared" si="3"/>
        <v>1</v>
      </c>
      <c r="AB46" s="1811">
        <f t="shared" si="4"/>
        <v>1</v>
      </c>
      <c r="AC46" s="1811">
        <f t="shared" si="5"/>
        <v>1</v>
      </c>
    </row>
    <row r="47" spans="1:29" ht="14.4">
      <c r="A47" s="479" t="s">
        <v>2563</v>
      </c>
      <c r="B47" s="480"/>
      <c r="C47" s="1407" t="s">
        <v>1</v>
      </c>
      <c r="D47" s="1408"/>
      <c r="E47" s="1409"/>
      <c r="F47" s="1410"/>
      <c r="G47" s="1411"/>
      <c r="H47" s="1412"/>
      <c r="I47" s="1409"/>
      <c r="J47" s="1412"/>
      <c r="K47" s="783"/>
      <c r="L47" s="1143"/>
      <c r="M47" s="1144"/>
      <c r="N47" s="1131"/>
      <c r="O47" s="1144"/>
      <c r="P47" s="3283" t="str">
        <f>A47</f>
        <v>成交单价（元/平方米）</v>
      </c>
      <c r="Q47" s="3283"/>
      <c r="R47" s="3296">
        <f>E47</f>
        <v>0</v>
      </c>
      <c r="S47" s="3296"/>
      <c r="T47" s="3296">
        <f>G47</f>
        <v>0</v>
      </c>
      <c r="U47" s="3296"/>
      <c r="V47" s="3296">
        <f>I47</f>
        <v>0</v>
      </c>
      <c r="W47" s="3296"/>
      <c r="X47" s="759"/>
      <c r="Y47" s="781"/>
      <c r="Z47" s="759"/>
      <c r="AA47" s="759"/>
      <c r="AB47" s="759"/>
      <c r="AC47" s="759"/>
    </row>
    <row r="48" spans="1:29" ht="1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283" t="str">
        <f>A48</f>
        <v>比较价值（元/平方米）</v>
      </c>
      <c r="Q48" s="3283"/>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759"/>
      <c r="Y48" s="759"/>
      <c r="Z48" s="759"/>
      <c r="AA48" s="759"/>
      <c r="AB48" s="759"/>
      <c r="AC48" s="759"/>
    </row>
    <row r="49" spans="1:29" ht="15" thickBot="1">
      <c r="A49" s="492" t="s">
        <v>2655</v>
      </c>
      <c r="B49" s="493"/>
      <c r="C49" s="1417" t="e">
        <f>R49</f>
        <v>#DIV/0!</v>
      </c>
      <c r="D49" s="1417"/>
      <c r="E49" s="1417"/>
      <c r="F49" s="1417"/>
      <c r="G49" s="1417"/>
      <c r="H49" s="1417"/>
      <c r="I49" s="1417"/>
      <c r="J49" s="1417"/>
      <c r="K49" s="785"/>
      <c r="L49" s="1143"/>
      <c r="M49" s="1144"/>
      <c r="N49" s="1131"/>
      <c r="O49" s="1144"/>
      <c r="P49" s="3303" t="str">
        <f>A49</f>
        <v>估价对象XX用房的比较价值（楼面单价，元/平方米）</v>
      </c>
      <c r="Q49" s="3304"/>
      <c r="R49" s="3347" t="e">
        <f>IF(F1="售价",ROUND(AVERAGE(R48:V48),0),ROUND(AVERAGE(R48:V48),1))</f>
        <v>#DIV/0!</v>
      </c>
      <c r="S49" s="3347"/>
      <c r="T49" s="3347"/>
      <c r="U49" s="3347"/>
      <c r="V49" s="3347"/>
      <c r="W49" s="33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2659</v>
      </c>
      <c r="B57" s="759"/>
      <c r="C57" s="764"/>
      <c r="D57" s="764"/>
      <c r="E57" s="764"/>
      <c r="F57" s="765"/>
      <c r="G57" s="765"/>
      <c r="H57" s="764"/>
      <c r="I57" s="764"/>
      <c r="J57" s="764"/>
      <c r="K57" s="766"/>
      <c r="L57" s="1161"/>
      <c r="M57" s="1159"/>
      <c r="N57" s="1159"/>
      <c r="O57" s="1159"/>
      <c r="P57" s="2662"/>
      <c r="Q57" s="2663"/>
      <c r="R57" s="759"/>
      <c r="S57" s="759"/>
      <c r="T57" s="759"/>
      <c r="U57" s="759"/>
      <c r="V57" s="759"/>
      <c r="W57" s="759"/>
      <c r="X57" s="759"/>
      <c r="Y57" s="759"/>
      <c r="Z57" s="759"/>
      <c r="AA57" s="759"/>
      <c r="AB57" s="759"/>
      <c r="AC57" s="759"/>
    </row>
    <row r="58" spans="1:29" s="508" customFormat="1" ht="14.4">
      <c r="A58" s="505" t="s">
        <v>2534</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c r="A59" s="509"/>
      <c r="B59" s="510"/>
      <c r="C59" s="1573">
        <v>100</v>
      </c>
      <c r="D59" s="512"/>
      <c r="E59" s="512"/>
      <c r="F59" s="512"/>
      <c r="G59" s="512"/>
      <c r="H59" s="512"/>
      <c r="I59" s="512"/>
      <c r="J59" s="512"/>
      <c r="K59" s="512"/>
      <c r="L59" s="512"/>
      <c r="M59" s="513"/>
      <c r="N59" s="512"/>
      <c r="O59" s="513"/>
      <c r="P59" s="2623"/>
    </row>
    <row r="60" spans="1:29" s="117" customFormat="1" ht="15" thickBot="1">
      <c r="A60" s="515" t="s">
        <v>2570</v>
      </c>
      <c r="B60" s="516"/>
      <c r="C60" s="517"/>
      <c r="D60" s="518"/>
      <c r="E60" s="518"/>
      <c r="F60" s="518"/>
      <c r="G60" s="518"/>
      <c r="H60" s="518"/>
      <c r="I60" s="518"/>
      <c r="J60" s="518"/>
      <c r="K60" s="518"/>
      <c r="L60" s="518"/>
      <c r="M60" s="519"/>
      <c r="N60" s="518"/>
      <c r="O60" s="519"/>
      <c r="P60" s="2623"/>
      <c r="Q60" s="504"/>
    </row>
    <row r="61" spans="1:29" s="117" customFormat="1" ht="14.4">
      <c r="A61" s="521" t="s">
        <v>2536</v>
      </c>
      <c r="B61" s="510"/>
      <c r="C61" s="522" t="s">
        <v>2637</v>
      </c>
      <c r="D61" s="523"/>
      <c r="E61" s="523"/>
      <c r="F61" s="523"/>
      <c r="G61" s="523"/>
      <c r="H61" s="523"/>
      <c r="I61" s="523"/>
      <c r="J61" s="523"/>
      <c r="K61" s="523"/>
      <c r="L61" s="524"/>
      <c r="M61" s="525"/>
      <c r="N61" s="1151"/>
      <c r="O61" s="1151"/>
      <c r="P61" s="2624"/>
      <c r="Q61" s="504"/>
    </row>
    <row r="62" spans="1:29" s="117" customFormat="1" ht="14.4" thickBot="1">
      <c r="A62" s="521"/>
      <c r="B62" s="510"/>
      <c r="C62" s="511">
        <v>100</v>
      </c>
      <c r="D62" s="512"/>
      <c r="E62" s="512"/>
      <c r="F62" s="512"/>
      <c r="G62" s="512"/>
      <c r="H62" s="512"/>
      <c r="I62" s="512"/>
      <c r="J62" s="512"/>
      <c r="K62" s="512"/>
      <c r="L62" s="512"/>
      <c r="M62" s="514"/>
      <c r="N62" s="1151"/>
      <c r="O62" s="1151"/>
      <c r="P62" s="2623"/>
      <c r="Q62" s="504"/>
    </row>
    <row r="63" spans="1:29" ht="14.4">
      <c r="A63" s="527" t="s">
        <v>2573</v>
      </c>
      <c r="B63" s="528" t="s">
        <v>2540</v>
      </c>
      <c r="C63" s="529">
        <f>C9</f>
        <v>0</v>
      </c>
      <c r="D63" s="530"/>
      <c r="E63" s="530"/>
      <c r="F63" s="530"/>
      <c r="G63" s="530"/>
      <c r="H63" s="530"/>
      <c r="I63" s="530"/>
      <c r="J63" s="530"/>
      <c r="K63" s="531"/>
      <c r="L63" s="532"/>
      <c r="M63" s="533"/>
      <c r="N63" s="1152"/>
      <c r="O63" s="1152"/>
      <c r="P63" s="2625"/>
      <c r="Q63" s="504"/>
    </row>
    <row r="64" spans="1:29" ht="14.4" thickBot="1">
      <c r="A64" s="534"/>
      <c r="B64" s="535"/>
      <c r="C64" s="536">
        <v>100</v>
      </c>
      <c r="D64" s="536"/>
      <c r="E64" s="536"/>
      <c r="F64" s="536"/>
      <c r="G64" s="536"/>
      <c r="H64" s="536"/>
      <c r="I64" s="536"/>
      <c r="J64" s="536"/>
      <c r="K64" s="536"/>
      <c r="L64" s="536"/>
      <c r="M64" s="537"/>
      <c r="N64" s="1153"/>
      <c r="O64" s="1153"/>
      <c r="P64" s="2625"/>
      <c r="Q64" s="504"/>
    </row>
    <row r="65" spans="1:17" ht="29.4" thickTop="1">
      <c r="A65" s="534"/>
      <c r="B65" s="538" t="s">
        <v>2543</v>
      </c>
      <c r="C65" s="539" t="s">
        <v>2574</v>
      </c>
      <c r="D65" s="539" t="s">
        <v>2575</v>
      </c>
      <c r="E65" s="539" t="s">
        <v>2576</v>
      </c>
      <c r="F65" s="539" t="s">
        <v>2577</v>
      </c>
      <c r="G65" s="539" t="s">
        <v>2578</v>
      </c>
      <c r="H65" s="539" t="s">
        <v>2579</v>
      </c>
      <c r="I65" s="539" t="s">
        <v>2580</v>
      </c>
      <c r="J65" s="539"/>
      <c r="K65" s="540"/>
      <c r="L65" s="541"/>
      <c r="M65" s="542"/>
      <c r="N65" s="1152"/>
      <c r="O65" s="1152"/>
      <c r="P65" s="262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5"/>
      <c r="Q66" s="504"/>
    </row>
    <row r="67" spans="1:17" ht="1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c r="A68" s="534"/>
      <c r="B68" s="548"/>
      <c r="C68" s="549"/>
      <c r="D68" s="549"/>
      <c r="E68" s="549"/>
      <c r="F68" s="549"/>
      <c r="G68" s="549"/>
      <c r="H68" s="549"/>
      <c r="I68" s="549"/>
      <c r="J68" s="549"/>
      <c r="K68" s="550"/>
      <c r="L68" s="551"/>
      <c r="M68" s="552"/>
      <c r="N68" s="1152"/>
      <c r="O68" s="1152"/>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4.4" thickTop="1">
      <c r="A70" s="553"/>
      <c r="B70" s="538">
        <f>B12</f>
        <v>111</v>
      </c>
      <c r="C70" s="554"/>
      <c r="D70" s="554"/>
      <c r="E70" s="554"/>
      <c r="F70" s="554"/>
      <c r="G70" s="554"/>
      <c r="H70" s="555"/>
      <c r="I70" s="555"/>
      <c r="J70" s="555"/>
      <c r="K70" s="555"/>
      <c r="L70" s="556"/>
      <c r="M70" s="557"/>
      <c r="N70" s="1154"/>
      <c r="O70" s="1154"/>
      <c r="P70" s="2626"/>
      <c r="Q70" s="559"/>
    </row>
    <row r="71" spans="1:17" s="471" customFormat="1" ht="14.4" thickBot="1">
      <c r="A71" s="553"/>
      <c r="B71" s="543"/>
      <c r="C71" s="560"/>
      <c r="D71" s="536"/>
      <c r="E71" s="536"/>
      <c r="F71" s="536"/>
      <c r="G71" s="536"/>
      <c r="H71" s="536"/>
      <c r="I71" s="536"/>
      <c r="J71" s="536"/>
      <c r="K71" s="536"/>
      <c r="L71" s="536"/>
      <c r="M71" s="537"/>
      <c r="N71" s="1153"/>
      <c r="O71" s="1153"/>
      <c r="P71" s="2626"/>
      <c r="Q71" s="559"/>
    </row>
    <row r="72" spans="1:17" s="471" customFormat="1" ht="14.4" thickTop="1">
      <c r="A72" s="553"/>
      <c r="B72" s="538">
        <f>B13</f>
        <v>111</v>
      </c>
      <c r="C72" s="554"/>
      <c r="D72" s="554"/>
      <c r="E72" s="554"/>
      <c r="F72" s="554"/>
      <c r="G72" s="554"/>
      <c r="H72" s="555"/>
      <c r="I72" s="555"/>
      <c r="J72" s="555"/>
      <c r="K72" s="555"/>
      <c r="L72" s="556"/>
      <c r="M72" s="557"/>
      <c r="N72" s="1154"/>
      <c r="O72" s="1154"/>
      <c r="P72" s="2627"/>
      <c r="Q72" s="561"/>
    </row>
    <row r="73" spans="1:17" s="471" customFormat="1" ht="14.4" thickBot="1">
      <c r="A73" s="553"/>
      <c r="B73" s="543"/>
      <c r="C73" s="560"/>
      <c r="D73" s="536"/>
      <c r="E73" s="536"/>
      <c r="F73" s="536"/>
      <c r="G73" s="560"/>
      <c r="H73" s="562"/>
      <c r="I73" s="562"/>
      <c r="J73" s="562"/>
      <c r="K73" s="562"/>
      <c r="L73" s="562"/>
      <c r="M73" s="563"/>
      <c r="N73" s="1154"/>
      <c r="O73" s="1154"/>
      <c r="P73" s="2626"/>
      <c r="Q73" s="559"/>
    </row>
    <row r="74" spans="1:17" s="471" customFormat="1" ht="14.4" thickTop="1">
      <c r="A74" s="553"/>
      <c r="B74" s="546">
        <f>B14</f>
        <v>111</v>
      </c>
      <c r="C74" s="554"/>
      <c r="D74" s="554"/>
      <c r="E74" s="554"/>
      <c r="F74" s="554"/>
      <c r="G74" s="523"/>
      <c r="H74" s="564"/>
      <c r="I74" s="564"/>
      <c r="J74" s="564"/>
      <c r="K74" s="564"/>
      <c r="L74" s="565"/>
      <c r="M74" s="566"/>
      <c r="N74" s="1154"/>
      <c r="O74" s="1154"/>
      <c r="P74" s="2628"/>
      <c r="Q74" s="559"/>
    </row>
    <row r="75" spans="1:17" s="471" customFormat="1" ht="14.4" thickBot="1">
      <c r="A75" s="568"/>
      <c r="B75" s="569"/>
      <c r="C75" s="570"/>
      <c r="D75" s="570"/>
      <c r="E75" s="570"/>
      <c r="F75" s="570"/>
      <c r="G75" s="570"/>
      <c r="H75" s="571"/>
      <c r="I75" s="571"/>
      <c r="J75" s="571"/>
      <c r="K75" s="571"/>
      <c r="L75" s="571"/>
      <c r="M75" s="572"/>
      <c r="N75" s="1154"/>
      <c r="O75" s="1154"/>
      <c r="P75" s="2626"/>
      <c r="Q75" s="559"/>
    </row>
    <row r="76" spans="1:17" ht="14.4">
      <c r="A76" s="527" t="s">
        <v>2545</v>
      </c>
      <c r="B76" s="528" t="s">
        <v>2581</v>
      </c>
      <c r="C76" s="573" t="s">
        <v>2582</v>
      </c>
      <c r="D76" s="573" t="s">
        <v>2583</v>
      </c>
      <c r="E76" s="573" t="s">
        <v>2584</v>
      </c>
      <c r="F76" s="573" t="s">
        <v>2585</v>
      </c>
      <c r="G76" s="573" t="s">
        <v>2586</v>
      </c>
      <c r="H76" s="529"/>
      <c r="I76" s="529"/>
      <c r="J76" s="529"/>
      <c r="K76" s="574"/>
      <c r="L76" s="575"/>
      <c r="M76" s="576"/>
      <c r="N76" s="1152"/>
      <c r="O76" s="1152"/>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 thickTop="1">
      <c r="A78" s="534"/>
      <c r="B78" s="538" t="s">
        <v>2587</v>
      </c>
      <c r="C78" s="578" t="s">
        <v>2582</v>
      </c>
      <c r="D78" s="578" t="s">
        <v>2583</v>
      </c>
      <c r="E78" s="578" t="s">
        <v>2584</v>
      </c>
      <c r="F78" s="578" t="s">
        <v>2585</v>
      </c>
      <c r="G78" s="578" t="s">
        <v>2586</v>
      </c>
      <c r="H78" s="539"/>
      <c r="I78" s="539"/>
      <c r="J78" s="539"/>
      <c r="K78" s="540"/>
      <c r="L78" s="541"/>
      <c r="M78" s="542"/>
      <c r="N78" s="1152"/>
      <c r="O78" s="1152"/>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 thickTop="1">
      <c r="A80" s="534"/>
      <c r="B80" s="538" t="s">
        <v>2588</v>
      </c>
      <c r="C80" s="578" t="s">
        <v>2582</v>
      </c>
      <c r="D80" s="578" t="s">
        <v>2583</v>
      </c>
      <c r="E80" s="578" t="s">
        <v>2584</v>
      </c>
      <c r="F80" s="578" t="s">
        <v>2585</v>
      </c>
      <c r="G80" s="578" t="s">
        <v>2586</v>
      </c>
      <c r="H80" s="539"/>
      <c r="I80" s="539"/>
      <c r="J80" s="539"/>
      <c r="K80" s="540"/>
      <c r="L80" s="541"/>
      <c r="M80" s="542"/>
      <c r="N80" s="1152"/>
      <c r="O80" s="1152"/>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 thickTop="1">
      <c r="A82" s="534"/>
      <c r="B82" s="546" t="s">
        <v>2640</v>
      </c>
      <c r="C82" s="660" t="s">
        <v>2660</v>
      </c>
      <c r="D82" s="660" t="s">
        <v>2661</v>
      </c>
      <c r="E82" s="660" t="s">
        <v>2662</v>
      </c>
      <c r="F82" s="660" t="s">
        <v>2663</v>
      </c>
      <c r="G82" s="660" t="s">
        <v>2664</v>
      </c>
      <c r="H82" s="539"/>
      <c r="I82" s="539"/>
      <c r="J82" s="539"/>
      <c r="K82" s="539"/>
      <c r="L82" s="539"/>
      <c r="M82" s="1382"/>
      <c r="N82" s="1153"/>
      <c r="O82" s="1153"/>
      <c r="P82" s="262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 thickTop="1">
      <c r="A84" s="534"/>
      <c r="B84" s="538" t="s">
        <v>2594</v>
      </c>
      <c r="C84" s="578" t="s">
        <v>2582</v>
      </c>
      <c r="D84" s="578" t="s">
        <v>2583</v>
      </c>
      <c r="E84" s="578" t="s">
        <v>2584</v>
      </c>
      <c r="F84" s="578" t="s">
        <v>2585</v>
      </c>
      <c r="G84" s="578" t="s">
        <v>2586</v>
      </c>
      <c r="H84" s="539"/>
      <c r="I84" s="539"/>
      <c r="J84" s="539"/>
      <c r="K84" s="540"/>
      <c r="L84" s="541"/>
      <c r="M84" s="542"/>
      <c r="N84" s="1152"/>
      <c r="O84" s="1152"/>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 thickTop="1">
      <c r="A86" s="579"/>
      <c r="B86" s="538" t="s">
        <v>2665</v>
      </c>
      <c r="C86" s="554"/>
      <c r="D86" s="554"/>
      <c r="E86" s="554"/>
      <c r="F86" s="554"/>
      <c r="G86" s="554"/>
      <c r="H86" s="554"/>
      <c r="I86" s="554"/>
      <c r="J86" s="554"/>
      <c r="K86" s="554"/>
      <c r="L86" s="580"/>
      <c r="M86" s="581"/>
      <c r="N86" s="1151"/>
      <c r="O86" s="1151"/>
      <c r="P86" s="262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5"/>
      <c r="Q87" s="504"/>
    </row>
    <row r="88" spans="1:17" s="117" customFormat="1" ht="14.4" thickTop="1">
      <c r="A88" s="579"/>
      <c r="B88" s="538" t="str">
        <f>B26</f>
        <v>平面位置/可视性</v>
      </c>
      <c r="C88" s="554"/>
      <c r="D88" s="554"/>
      <c r="E88" s="554"/>
      <c r="F88" s="2630"/>
      <c r="G88" s="554"/>
      <c r="H88" s="554"/>
      <c r="I88" s="554"/>
      <c r="J88" s="554"/>
      <c r="K88" s="554"/>
      <c r="L88" s="554"/>
      <c r="M88" s="581"/>
      <c r="N88" s="1151"/>
      <c r="O88" s="1151"/>
      <c r="P88" s="2625"/>
      <c r="Q88" s="504"/>
    </row>
    <row r="89" spans="1:17" s="117" customFormat="1" ht="14.4" thickBot="1">
      <c r="A89" s="579"/>
      <c r="B89" s="543"/>
      <c r="C89" s="560"/>
      <c r="D89" s="536"/>
      <c r="E89" s="536"/>
      <c r="F89" s="536"/>
      <c r="G89" s="536"/>
      <c r="H89" s="536"/>
      <c r="I89" s="536"/>
      <c r="J89" s="536"/>
      <c r="K89" s="536"/>
      <c r="L89" s="536"/>
      <c r="M89" s="536"/>
      <c r="N89" s="1153"/>
      <c r="O89" s="1153"/>
      <c r="P89" s="2625"/>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6"/>
      <c r="Q91" s="559"/>
    </row>
    <row r="92" spans="1:17" ht="14.4" thickTop="1">
      <c r="A92" s="534"/>
      <c r="B92" s="538" t="str">
        <f>B28</f>
        <v>楼层</v>
      </c>
      <c r="C92" s="554"/>
      <c r="D92" s="554"/>
      <c r="E92" s="554"/>
      <c r="F92" s="554"/>
      <c r="G92" s="554"/>
      <c r="H92" s="554"/>
      <c r="I92" s="554"/>
      <c r="J92" s="554"/>
      <c r="K92" s="554"/>
      <c r="L92" s="580"/>
      <c r="M92" s="581"/>
      <c r="N92" s="1152"/>
      <c r="O92" s="1152"/>
      <c r="P92" s="2625"/>
      <c r="Q92" s="504"/>
    </row>
    <row r="93" spans="1:17" ht="14.4" thickBot="1">
      <c r="A93" s="534"/>
      <c r="B93" s="543"/>
      <c r="C93" s="536"/>
      <c r="D93" s="536"/>
      <c r="E93" s="536"/>
      <c r="F93" s="536"/>
      <c r="G93" s="536"/>
      <c r="H93" s="536"/>
      <c r="I93" s="536"/>
      <c r="J93" s="536"/>
      <c r="K93" s="536"/>
      <c r="L93" s="536"/>
      <c r="M93" s="537"/>
      <c r="N93" s="1153"/>
      <c r="O93" s="1153"/>
      <c r="P93" s="2625"/>
      <c r="Q93" s="504"/>
    </row>
    <row r="94" spans="1:17" ht="14.4" thickTop="1">
      <c r="A94" s="534"/>
      <c r="B94" s="538">
        <f>B29</f>
        <v>111</v>
      </c>
      <c r="C94" s="554"/>
      <c r="D94" s="554"/>
      <c r="E94" s="554"/>
      <c r="F94" s="554"/>
      <c r="G94" s="583"/>
      <c r="H94" s="583"/>
      <c r="I94" s="583"/>
      <c r="J94" s="583"/>
      <c r="K94" s="584"/>
      <c r="L94" s="585"/>
      <c r="M94" s="586"/>
      <c r="N94" s="1152"/>
      <c r="O94" s="1152"/>
      <c r="P94" s="2625"/>
      <c r="Q94" s="504"/>
    </row>
    <row r="95" spans="1:17" ht="14.4" thickBot="1">
      <c r="A95" s="534"/>
      <c r="B95" s="543"/>
      <c r="C95" s="560"/>
      <c r="D95" s="536"/>
      <c r="E95" s="536"/>
      <c r="F95" s="536"/>
      <c r="G95" s="536"/>
      <c r="H95" s="536"/>
      <c r="I95" s="536"/>
      <c r="J95" s="536"/>
      <c r="K95" s="536"/>
      <c r="L95" s="536"/>
      <c r="M95" s="537"/>
      <c r="N95" s="1153"/>
      <c r="O95" s="1153"/>
      <c r="P95" s="2625"/>
      <c r="Q95" s="504"/>
    </row>
    <row r="96" spans="1:17" ht="14.4" thickTop="1">
      <c r="A96" s="534"/>
      <c r="B96" s="538">
        <f>B30</f>
        <v>111</v>
      </c>
      <c r="C96" s="554"/>
      <c r="D96" s="554"/>
      <c r="E96" s="554"/>
      <c r="F96" s="554"/>
      <c r="G96" s="583"/>
      <c r="H96" s="583"/>
      <c r="I96" s="583"/>
      <c r="J96" s="583"/>
      <c r="K96" s="584"/>
      <c r="L96" s="585"/>
      <c r="M96" s="586"/>
      <c r="N96" s="1152"/>
      <c r="O96" s="1152"/>
      <c r="P96" s="2625"/>
      <c r="Q96" s="504"/>
    </row>
    <row r="97" spans="1:17" ht="14.4" thickBot="1">
      <c r="A97" s="534"/>
      <c r="B97" s="543"/>
      <c r="C97" s="560"/>
      <c r="D97" s="536"/>
      <c r="E97" s="536"/>
      <c r="F97" s="536"/>
      <c r="G97" s="536"/>
      <c r="H97" s="536"/>
      <c r="I97" s="536"/>
      <c r="J97" s="536"/>
      <c r="K97" s="536"/>
      <c r="L97" s="536"/>
      <c r="M97" s="537"/>
      <c r="N97" s="1153"/>
      <c r="O97" s="1153"/>
      <c r="P97" s="2625"/>
      <c r="Q97" s="504"/>
    </row>
    <row r="98" spans="1:17" ht="14.4" thickTop="1">
      <c r="A98" s="534"/>
      <c r="B98" s="546">
        <f>B31</f>
        <v>111</v>
      </c>
      <c r="C98" s="554"/>
      <c r="D98" s="554"/>
      <c r="E98" s="554"/>
      <c r="F98" s="554"/>
      <c r="G98" s="587"/>
      <c r="H98" s="587"/>
      <c r="I98" s="587"/>
      <c r="J98" s="587"/>
      <c r="K98" s="588"/>
      <c r="L98" s="589"/>
      <c r="M98" s="590"/>
      <c r="N98" s="1152"/>
      <c r="O98" s="1152"/>
      <c r="P98" s="2625"/>
      <c r="Q98" s="504"/>
    </row>
    <row r="99" spans="1:17" ht="14.4" thickBot="1">
      <c r="A99" s="2631"/>
      <c r="B99" s="569"/>
      <c r="C99" s="570"/>
      <c r="D99" s="570"/>
      <c r="E99" s="570"/>
      <c r="F99" s="570"/>
      <c r="G99" s="591"/>
      <c r="H99" s="591"/>
      <c r="I99" s="591"/>
      <c r="J99" s="591"/>
      <c r="K99" s="591"/>
      <c r="L99" s="591"/>
      <c r="M99" s="592"/>
      <c r="N99" s="1153"/>
      <c r="O99" s="1153"/>
      <c r="P99" s="2625"/>
      <c r="Q99" s="504"/>
    </row>
    <row r="100" spans="1:17" ht="14.4">
      <c r="A100" s="527" t="s">
        <v>2549</v>
      </c>
      <c r="B100" s="528" t="s">
        <v>2666</v>
      </c>
      <c r="C100" s="530"/>
      <c r="D100" s="530"/>
      <c r="E100" s="530"/>
      <c r="F100" s="530"/>
      <c r="G100" s="530"/>
      <c r="H100" s="530"/>
      <c r="I100" s="530"/>
      <c r="J100" s="530"/>
      <c r="K100" s="531"/>
      <c r="L100" s="532"/>
      <c r="M100" s="533"/>
      <c r="N100" s="1152"/>
      <c r="O100" s="1152"/>
      <c r="P100" s="262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5"/>
      <c r="Q101" s="504"/>
    </row>
    <row r="102" spans="1:17" ht="1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6"/>
      <c r="Q104" s="559"/>
    </row>
    <row r="105" spans="1:17" ht="15" thickTop="1">
      <c r="A105" s="599"/>
      <c r="B105" s="538" t="s">
        <v>2599</v>
      </c>
      <c r="C105" s="554"/>
      <c r="D105" s="554"/>
      <c r="E105" s="583"/>
      <c r="F105" s="583"/>
      <c r="G105" s="583"/>
      <c r="H105" s="583"/>
      <c r="I105" s="583"/>
      <c r="J105" s="583"/>
      <c r="K105" s="584"/>
      <c r="L105" s="585"/>
      <c r="M105" s="586"/>
      <c r="N105" s="1152"/>
      <c r="O105" s="1152"/>
      <c r="P105" s="262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5"/>
      <c r="Q106" s="504"/>
    </row>
    <row r="107" spans="1:17" ht="15" thickTop="1">
      <c r="A107" s="599"/>
      <c r="B107" s="538" t="s">
        <v>2601</v>
      </c>
      <c r="C107" s="554"/>
      <c r="D107" s="554"/>
      <c r="E107" s="554"/>
      <c r="F107" s="583"/>
      <c r="G107" s="583"/>
      <c r="H107" s="583"/>
      <c r="I107" s="583"/>
      <c r="J107" s="583"/>
      <c r="K107" s="584"/>
      <c r="L107" s="585"/>
      <c r="M107" s="586"/>
      <c r="N107" s="1152"/>
      <c r="O107" s="1152"/>
      <c r="P107" s="262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5"/>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2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6"/>
      <c r="Q113" s="559"/>
    </row>
    <row r="114" spans="1:17" ht="15" thickTop="1">
      <c r="A114" s="599"/>
      <c r="B114" s="538" t="s">
        <v>2667</v>
      </c>
      <c r="C114" s="554"/>
      <c r="D114" s="554"/>
      <c r="E114" s="583"/>
      <c r="F114" s="583"/>
      <c r="G114" s="583"/>
      <c r="H114" s="583"/>
      <c r="I114" s="583"/>
      <c r="J114" s="583"/>
      <c r="K114" s="584"/>
      <c r="L114" s="585"/>
      <c r="M114" s="586"/>
      <c r="N114" s="1152"/>
      <c r="O114" s="1152"/>
      <c r="P114" s="262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5"/>
      <c r="Q115" s="504"/>
    </row>
    <row r="116" spans="1:17" ht="15" thickTop="1">
      <c r="A116" s="599"/>
      <c r="B116" s="538" t="s">
        <v>2668</v>
      </c>
      <c r="C116" s="554"/>
      <c r="D116" s="554"/>
      <c r="E116" s="554"/>
      <c r="F116" s="554"/>
      <c r="G116" s="554"/>
      <c r="H116" s="583"/>
      <c r="I116" s="583"/>
      <c r="J116" s="583"/>
      <c r="K116" s="584"/>
      <c r="L116" s="585"/>
      <c r="M116" s="586"/>
      <c r="N116" s="1152"/>
      <c r="O116" s="1152"/>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2669</v>
      </c>
      <c r="C118" s="627"/>
      <c r="D118" s="627"/>
      <c r="E118" s="627"/>
      <c r="F118" s="627"/>
      <c r="G118" s="627"/>
      <c r="H118" s="555"/>
      <c r="I118" s="555"/>
      <c r="J118" s="555"/>
      <c r="K118" s="555"/>
      <c r="L118" s="556"/>
      <c r="M118" s="557"/>
      <c r="N118" s="1152"/>
      <c r="O118" s="1152"/>
      <c r="P118" s="2625"/>
      <c r="Q118" s="504"/>
    </row>
    <row r="119" spans="1:17" ht="14.4"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6"/>
      <c r="Q121" s="559"/>
    </row>
    <row r="122" spans="1:17" ht="15" thickTop="1">
      <c r="A122" s="599"/>
      <c r="B122" s="538" t="s">
        <v>2605</v>
      </c>
      <c r="C122" s="554"/>
      <c r="D122" s="554"/>
      <c r="E122" s="554"/>
      <c r="F122" s="583"/>
      <c r="G122" s="583"/>
      <c r="H122" s="583"/>
      <c r="I122" s="583"/>
      <c r="J122" s="583"/>
      <c r="K122" s="584"/>
      <c r="L122" s="585"/>
      <c r="M122" s="586"/>
      <c r="N122" s="1152"/>
      <c r="O122" s="1152"/>
      <c r="P122" s="262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5"/>
      <c r="Q123" s="504"/>
    </row>
    <row r="124" spans="1:17" ht="29.4"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6"/>
      <c r="Q127" s="559"/>
    </row>
    <row r="128" spans="1:17" ht="14.4" thickTop="1">
      <c r="A128" s="599"/>
      <c r="B128" s="538">
        <f>B45</f>
        <v>111</v>
      </c>
      <c r="C128" s="554"/>
      <c r="D128" s="554"/>
      <c r="E128" s="554"/>
      <c r="F128" s="554"/>
      <c r="G128" s="583"/>
      <c r="H128" s="583"/>
      <c r="I128" s="583"/>
      <c r="J128" s="583"/>
      <c r="K128" s="584"/>
      <c r="L128" s="585"/>
      <c r="M128" s="586"/>
      <c r="N128" s="1152"/>
      <c r="O128" s="1152"/>
      <c r="P128" s="2625"/>
      <c r="Q128" s="504"/>
    </row>
    <row r="129" spans="1:17" ht="14.4" thickBot="1">
      <c r="A129" s="534"/>
      <c r="B129" s="543"/>
      <c r="C129" s="560"/>
      <c r="D129" s="536"/>
      <c r="E129" s="536"/>
      <c r="F129" s="536"/>
      <c r="G129" s="536"/>
      <c r="H129" s="536"/>
      <c r="I129" s="536"/>
      <c r="J129" s="536"/>
      <c r="K129" s="536"/>
      <c r="L129" s="536"/>
      <c r="M129" s="537"/>
      <c r="N129" s="1153"/>
      <c r="O129" s="1153"/>
      <c r="P129" s="2625"/>
      <c r="Q129" s="504"/>
    </row>
    <row r="130" spans="1:17" ht="14.4" thickTop="1">
      <c r="A130" s="599"/>
      <c r="B130" s="546">
        <f>B46</f>
        <v>111</v>
      </c>
      <c r="C130" s="554"/>
      <c r="D130" s="554"/>
      <c r="E130" s="554"/>
      <c r="F130" s="554"/>
      <c r="G130" s="587"/>
      <c r="H130" s="587"/>
      <c r="I130" s="587"/>
      <c r="J130" s="587"/>
      <c r="K130" s="523"/>
      <c r="L130" s="524"/>
      <c r="M130" s="590"/>
      <c r="N130" s="1152"/>
      <c r="O130" s="1152"/>
      <c r="P130" s="2625"/>
      <c r="Q130" s="504"/>
    </row>
    <row r="131" spans="1:17" ht="14.4"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2514</v>
      </c>
      <c r="B1" s="2664" t="s">
        <v>2671</v>
      </c>
      <c r="C1" s="1620" t="s">
        <v>2516</v>
      </c>
      <c r="D1" s="1621"/>
      <c r="E1" s="1630"/>
      <c r="F1" s="2582"/>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IF(C2="——",ROUND(C50*D3/10000,0),ROUND(C50*D3/10000,0)-D2)</f>
        <v>#DIV/0!</v>
      </c>
      <c r="C2" s="2584"/>
      <c r="D2" s="1365" t="e">
        <f ca="1">SUMIF(INDIRECT("'"&amp;F2&amp;"'"&amp;"!A:A"),"承租人权益价值",INDIRECT("'"&amp;F2&amp;"'"&amp;"!c:c"))</f>
        <v>#REF!</v>
      </c>
      <c r="E2" s="2585" t="s">
        <v>2317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2629</v>
      </c>
      <c r="D3" s="399">
        <f>IF(D1="",'数据-汇总表'!E3,SUMIF('数据-汇总表'!$C19:$C33,D1,'数据-汇总表'!$E19:$E33))</f>
        <v>55474.460000000014</v>
      </c>
      <c r="E3" s="265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2630</v>
      </c>
      <c r="B4" s="402"/>
      <c r="C4" s="3284" t="s">
        <v>2631</v>
      </c>
      <c r="D4" s="3285"/>
      <c r="E4" s="3286" t="s">
        <v>2632</v>
      </c>
      <c r="F4" s="3287"/>
      <c r="G4" s="3284" t="s">
        <v>2633</v>
      </c>
      <c r="H4" s="3285"/>
      <c r="I4" s="3284" t="s">
        <v>2634</v>
      </c>
      <c r="J4" s="3285"/>
      <c r="K4" s="610" t="s">
        <v>2635</v>
      </c>
      <c r="L4" s="1130"/>
      <c r="M4" s="1131"/>
      <c r="N4" s="1131"/>
      <c r="O4" s="1131"/>
      <c r="P4" s="3369" t="s">
        <v>2636</v>
      </c>
      <c r="Q4" s="3370"/>
      <c r="R4" s="3364" t="s">
        <v>2632</v>
      </c>
      <c r="S4" s="3365"/>
      <c r="T4" s="3364" t="s">
        <v>2633</v>
      </c>
      <c r="U4" s="3365"/>
      <c r="V4" s="3373" t="s">
        <v>2634</v>
      </c>
      <c r="W4" s="3373"/>
      <c r="X4" s="2665"/>
      <c r="Y4" s="3364" t="s">
        <v>2636</v>
      </c>
      <c r="Z4" s="3365"/>
      <c r="AA4" s="3363" t="s">
        <v>2632</v>
      </c>
      <c r="AB4" s="3363" t="s">
        <v>2633</v>
      </c>
      <c r="AC4" s="3366" t="s">
        <v>2634</v>
      </c>
    </row>
    <row r="5" spans="1:29">
      <c r="A5" s="404"/>
      <c r="B5" s="405"/>
      <c r="C5" s="3357" t="s">
        <v>2528</v>
      </c>
      <c r="D5" s="3358"/>
      <c r="E5" s="3355" t="s">
        <v>2529</v>
      </c>
      <c r="F5" s="3356"/>
      <c r="G5" s="3357" t="s">
        <v>2530</v>
      </c>
      <c r="H5" s="3358"/>
      <c r="I5" s="3357" t="s">
        <v>2531</v>
      </c>
      <c r="J5" s="3358"/>
      <c r="K5" s="610"/>
      <c r="L5" s="1130"/>
      <c r="M5" s="1131"/>
      <c r="N5" s="1131"/>
      <c r="O5" s="1131"/>
      <c r="P5" s="3371"/>
      <c r="Q5" s="3291"/>
      <c r="R5" s="3273"/>
      <c r="S5" s="3274"/>
      <c r="T5" s="3273"/>
      <c r="U5" s="3274"/>
      <c r="V5" s="3296"/>
      <c r="W5" s="3296"/>
      <c r="X5" s="1813"/>
      <c r="Y5" s="3273"/>
      <c r="Z5" s="3274"/>
      <c r="AA5" s="3267"/>
      <c r="AB5" s="3267"/>
      <c r="AC5" s="3367"/>
    </row>
    <row r="6" spans="1:29" ht="15" thickBot="1">
      <c r="A6" s="406"/>
      <c r="B6" s="407"/>
      <c r="C6" s="3359" t="s">
        <v>2532</v>
      </c>
      <c r="D6" s="3360"/>
      <c r="E6" s="3361" t="s">
        <v>2532</v>
      </c>
      <c r="F6" s="3362"/>
      <c r="G6" s="3359" t="s">
        <v>2532</v>
      </c>
      <c r="H6" s="3360"/>
      <c r="I6" s="3359" t="s">
        <v>2532</v>
      </c>
      <c r="J6" s="3360"/>
      <c r="K6" s="610" t="s">
        <v>2533</v>
      </c>
      <c r="L6" s="1130"/>
      <c r="M6" s="1131"/>
      <c r="N6" s="1131"/>
      <c r="O6" s="1131"/>
      <c r="P6" s="3372"/>
      <c r="Q6" s="3293"/>
      <c r="R6" s="3273"/>
      <c r="S6" s="3274"/>
      <c r="T6" s="3294"/>
      <c r="U6" s="3295"/>
      <c r="V6" s="3296"/>
      <c r="W6" s="3296"/>
      <c r="X6" s="1813"/>
      <c r="Y6" s="3294"/>
      <c r="Z6" s="3295"/>
      <c r="AA6" s="3268"/>
      <c r="AB6" s="3268"/>
      <c r="AC6" s="3368"/>
    </row>
    <row r="7" spans="1:29" s="117" customFormat="1" ht="15" thickBot="1">
      <c r="A7" s="408" t="s">
        <v>2534</v>
      </c>
      <c r="B7" s="409"/>
      <c r="C7" s="410">
        <f>'数据-取费表'!B2</f>
        <v>43724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74" t="s">
        <v>2535</v>
      </c>
      <c r="Q7" s="3297"/>
      <c r="R7" s="770" t="s">
        <v>17</v>
      </c>
      <c r="S7" s="771">
        <f t="shared" ref="S7:S15" si="0">F7</f>
        <v>0</v>
      </c>
      <c r="T7" s="770" t="s">
        <v>17</v>
      </c>
      <c r="U7" s="771">
        <f t="shared" ref="U7:U15" si="1">H7</f>
        <v>0</v>
      </c>
      <c r="V7" s="770" t="s">
        <v>17</v>
      </c>
      <c r="W7" s="771">
        <f t="shared" ref="W7:W15" si="2">J7</f>
        <v>0</v>
      </c>
      <c r="X7" s="772"/>
      <c r="Y7" s="3269" t="s">
        <v>2535</v>
      </c>
      <c r="Z7" s="3270"/>
      <c r="AA7" s="773" t="e">
        <f>D7/F7</f>
        <v>#DIV/0!</v>
      </c>
      <c r="AB7" s="773" t="e">
        <f>D7/H7</f>
        <v>#DIV/0!</v>
      </c>
      <c r="AC7" s="2666" t="e">
        <f>D7/J7</f>
        <v>#DIV/0!</v>
      </c>
    </row>
    <row r="8" spans="1:29" s="117" customFormat="1" ht="15" thickBot="1">
      <c r="A8" s="408" t="s">
        <v>2536</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74" t="s">
        <v>2538</v>
      </c>
      <c r="Q8" s="3270"/>
      <c r="R8" s="770" t="s">
        <v>17</v>
      </c>
      <c r="S8" s="771">
        <f t="shared" si="0"/>
        <v>0</v>
      </c>
      <c r="T8" s="770" t="s">
        <v>17</v>
      </c>
      <c r="U8" s="771">
        <f t="shared" si="1"/>
        <v>0</v>
      </c>
      <c r="V8" s="770" t="s">
        <v>17</v>
      </c>
      <c r="W8" s="771">
        <f t="shared" si="2"/>
        <v>0</v>
      </c>
      <c r="X8" s="772"/>
      <c r="Y8" s="3269" t="s">
        <v>2538</v>
      </c>
      <c r="Z8" s="3270"/>
      <c r="AA8" s="773" t="e">
        <f t="shared" ref="AA8:AA47" si="3">D8/F8</f>
        <v>#DIV/0!</v>
      </c>
      <c r="AB8" s="773" t="e">
        <f t="shared" ref="AB8:AB47" si="4">D8/H8</f>
        <v>#DIV/0!</v>
      </c>
      <c r="AC8" s="2666" t="e">
        <f t="shared" ref="AC8:AC47" si="5">D8/J8</f>
        <v>#DIV/0!</v>
      </c>
    </row>
    <row r="9" spans="1:29" s="117" customFormat="1" ht="14.4">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07" t="s">
        <v>2541</v>
      </c>
      <c r="Q9" s="1795" t="str">
        <f t="shared" ref="Q9:Q15" si="6">B9</f>
        <v>用途</v>
      </c>
      <c r="R9" s="770" t="s">
        <v>17</v>
      </c>
      <c r="S9" s="771">
        <f t="shared" si="0"/>
        <v>100</v>
      </c>
      <c r="T9" s="770" t="s">
        <v>17</v>
      </c>
      <c r="U9" s="771">
        <f t="shared" si="1"/>
        <v>100</v>
      </c>
      <c r="V9" s="770" t="s">
        <v>17</v>
      </c>
      <c r="W9" s="771">
        <f t="shared" si="2"/>
        <v>100</v>
      </c>
      <c r="X9" s="772"/>
      <c r="Y9" s="3143" t="s">
        <v>2542</v>
      </c>
      <c r="Z9" s="55" t="str">
        <f t="shared" ref="Z9:Z15" si="7">Q9</f>
        <v>用途</v>
      </c>
      <c r="AA9" s="773">
        <f t="shared" si="3"/>
        <v>1</v>
      </c>
      <c r="AB9" s="773">
        <f t="shared" si="4"/>
        <v>1</v>
      </c>
      <c r="AC9" s="2666">
        <f t="shared" si="5"/>
        <v>1</v>
      </c>
    </row>
    <row r="10" spans="1:29" s="427" customFormat="1" ht="28.8">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07"/>
      <c r="Q10" s="1795" t="str">
        <f t="shared" si="6"/>
        <v>土地使用年限（年）</v>
      </c>
      <c r="R10" s="770" t="s">
        <v>17</v>
      </c>
      <c r="S10" s="771">
        <f t="shared" si="0"/>
        <v>100</v>
      </c>
      <c r="T10" s="770" t="s">
        <v>17</v>
      </c>
      <c r="U10" s="771">
        <f t="shared" si="1"/>
        <v>100</v>
      </c>
      <c r="V10" s="770" t="s">
        <v>17</v>
      </c>
      <c r="W10" s="771">
        <f t="shared" si="2"/>
        <v>100</v>
      </c>
      <c r="X10" s="772"/>
      <c r="Y10" s="3143"/>
      <c r="Z10" s="55" t="str">
        <f t="shared" si="7"/>
        <v>土地使用年限（年）</v>
      </c>
      <c r="AA10" s="773">
        <f t="shared" si="3"/>
        <v>1</v>
      </c>
      <c r="AB10" s="773">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07"/>
      <c r="Q11" s="1795" t="str">
        <f t="shared" si="6"/>
        <v>容积率</v>
      </c>
      <c r="R11" s="770" t="s">
        <v>17</v>
      </c>
      <c r="S11" s="771" t="e">
        <f t="shared" si="0"/>
        <v>#N/A</v>
      </c>
      <c r="T11" s="770" t="s">
        <v>17</v>
      </c>
      <c r="U11" s="771" t="e">
        <f t="shared" si="1"/>
        <v>#N/A</v>
      </c>
      <c r="V11" s="770" t="s">
        <v>17</v>
      </c>
      <c r="W11" s="771" t="e">
        <f t="shared" si="2"/>
        <v>#N/A</v>
      </c>
      <c r="X11" s="772"/>
      <c r="Y11" s="3143"/>
      <c r="Z11" s="55" t="str">
        <f t="shared" si="7"/>
        <v>容积率</v>
      </c>
      <c r="AA11" s="773" t="e">
        <f t="shared" si="3"/>
        <v>#N/A</v>
      </c>
      <c r="AB11" s="773" t="e">
        <f t="shared" si="4"/>
        <v>#N/A</v>
      </c>
      <c r="AC11" s="2666" t="e">
        <f t="shared" si="5"/>
        <v>#N/A</v>
      </c>
    </row>
    <row r="12" spans="1:29" s="117" customFormat="1" ht="15">
      <c r="A12" s="431"/>
      <c r="B12" s="2597">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307"/>
      <c r="Q12" s="1795">
        <f t="shared" si="6"/>
        <v>111</v>
      </c>
      <c r="R12" s="770" t="s">
        <v>17</v>
      </c>
      <c r="S12" s="771">
        <f t="shared" si="0"/>
        <v>100</v>
      </c>
      <c r="T12" s="770" t="s">
        <v>17</v>
      </c>
      <c r="U12" s="771">
        <f t="shared" si="1"/>
        <v>100</v>
      </c>
      <c r="V12" s="770" t="s">
        <v>17</v>
      </c>
      <c r="W12" s="771">
        <f t="shared" si="2"/>
        <v>100</v>
      </c>
      <c r="X12" s="772"/>
      <c r="Y12" s="3143"/>
      <c r="Z12" s="55">
        <f t="shared" si="7"/>
        <v>111</v>
      </c>
      <c r="AA12" s="773">
        <f>D12/F12</f>
        <v>1</v>
      </c>
      <c r="AB12" s="773">
        <f>D12/H12</f>
        <v>1</v>
      </c>
      <c r="AC12" s="2666">
        <f>D12/J12</f>
        <v>1</v>
      </c>
    </row>
    <row r="13" spans="1:29" ht="15">
      <c r="A13" s="428"/>
      <c r="B13" s="2597">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307"/>
      <c r="Q13" s="1795">
        <f t="shared" si="6"/>
        <v>111</v>
      </c>
      <c r="R13" s="770" t="s">
        <v>17</v>
      </c>
      <c r="S13" s="771">
        <f t="shared" si="0"/>
        <v>100</v>
      </c>
      <c r="T13" s="770" t="s">
        <v>17</v>
      </c>
      <c r="U13" s="771">
        <f t="shared" si="1"/>
        <v>100</v>
      </c>
      <c r="V13" s="770" t="s">
        <v>17</v>
      </c>
      <c r="W13" s="771">
        <f t="shared" si="2"/>
        <v>100</v>
      </c>
      <c r="X13" s="772"/>
      <c r="Y13" s="3143"/>
      <c r="Z13" s="55">
        <f t="shared" si="7"/>
        <v>111</v>
      </c>
      <c r="AA13" s="773">
        <f t="shared" si="3"/>
        <v>1</v>
      </c>
      <c r="AB13" s="773">
        <f t="shared" si="4"/>
        <v>1</v>
      </c>
      <c r="AC13" s="2666">
        <f t="shared" si="5"/>
        <v>1</v>
      </c>
    </row>
    <row r="14" spans="1:29" ht="15.6" thickBot="1">
      <c r="A14" s="436"/>
      <c r="B14" s="2599">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307"/>
      <c r="Q14" s="1795">
        <f t="shared" si="6"/>
        <v>111</v>
      </c>
      <c r="R14" s="770" t="s">
        <v>17</v>
      </c>
      <c r="S14" s="771">
        <f t="shared" si="0"/>
        <v>100</v>
      </c>
      <c r="T14" s="770" t="s">
        <v>17</v>
      </c>
      <c r="U14" s="771">
        <f t="shared" si="1"/>
        <v>100</v>
      </c>
      <c r="V14" s="770" t="s">
        <v>17</v>
      </c>
      <c r="W14" s="771">
        <f t="shared" si="2"/>
        <v>100</v>
      </c>
      <c r="X14" s="772"/>
      <c r="Y14" s="3143"/>
      <c r="Z14" s="55">
        <f t="shared" si="7"/>
        <v>111</v>
      </c>
      <c r="AA14" s="773">
        <f t="shared" si="3"/>
        <v>1</v>
      </c>
      <c r="AB14" s="773">
        <f t="shared" si="4"/>
        <v>1</v>
      </c>
      <c r="AC14" s="2666">
        <f t="shared" si="5"/>
        <v>1</v>
      </c>
    </row>
    <row r="15" spans="1:29" ht="15">
      <c r="A15" s="440" t="s">
        <v>2545</v>
      </c>
      <c r="B15" s="629" t="s">
        <v>2672</v>
      </c>
      <c r="C15" s="2668"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53" t="s">
        <v>2546</v>
      </c>
      <c r="Q15" s="1810" t="str">
        <f t="shared" si="6"/>
        <v>办公集聚程度</v>
      </c>
      <c r="R15" s="774" t="s">
        <v>17</v>
      </c>
      <c r="S15" s="775">
        <f t="shared" si="0"/>
        <v>100</v>
      </c>
      <c r="T15" s="774" t="s">
        <v>17</v>
      </c>
      <c r="U15" s="775">
        <f t="shared" si="1"/>
        <v>100</v>
      </c>
      <c r="V15" s="774" t="s">
        <v>17</v>
      </c>
      <c r="W15" s="775">
        <f t="shared" si="2"/>
        <v>100</v>
      </c>
      <c r="X15" s="1813"/>
      <c r="Y15" s="3298" t="s">
        <v>2546</v>
      </c>
      <c r="Z15" s="1814" t="str">
        <f t="shared" si="7"/>
        <v>办公集聚程度</v>
      </c>
      <c r="AA15" s="1811">
        <f t="shared" si="3"/>
        <v>1</v>
      </c>
      <c r="AB15" s="1811">
        <f t="shared" si="4"/>
        <v>1</v>
      </c>
      <c r="AC15" s="2669">
        <f t="shared" si="5"/>
        <v>1</v>
      </c>
    </row>
    <row r="16" spans="1:29" ht="15">
      <c r="A16" s="428"/>
      <c r="B16" s="630"/>
      <c r="C16" s="2608"/>
      <c r="D16" s="448"/>
      <c r="E16" s="447"/>
      <c r="F16" s="448"/>
      <c r="G16" s="2608"/>
      <c r="H16" s="450"/>
      <c r="I16" s="447"/>
      <c r="J16" s="448"/>
      <c r="K16" s="615"/>
      <c r="L16" s="1140"/>
      <c r="M16" s="1131"/>
      <c r="N16" s="1131"/>
      <c r="O16" s="1131"/>
      <c r="P16" s="3354"/>
      <c r="Q16" s="1810"/>
      <c r="R16" s="774"/>
      <c r="S16" s="775"/>
      <c r="T16" s="774"/>
      <c r="U16" s="775"/>
      <c r="V16" s="774"/>
      <c r="W16" s="775"/>
      <c r="X16" s="1813"/>
      <c r="Y16" s="3299"/>
      <c r="Z16" s="1814"/>
      <c r="AA16" s="1811">
        <v>1</v>
      </c>
      <c r="AB16" s="1811">
        <v>1</v>
      </c>
      <c r="AC16" s="2669">
        <v>1</v>
      </c>
    </row>
    <row r="17" spans="1:29" ht="15">
      <c r="A17" s="428"/>
      <c r="B17" s="631" t="s">
        <v>2088</v>
      </c>
      <c r="C17" s="2670"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54"/>
      <c r="Q17" s="1810" t="str">
        <f>B17</f>
        <v>交通便捷度</v>
      </c>
      <c r="R17" s="774" t="s">
        <v>17</v>
      </c>
      <c r="S17" s="775">
        <f>F17</f>
        <v>100</v>
      </c>
      <c r="T17" s="774" t="s">
        <v>17</v>
      </c>
      <c r="U17" s="775">
        <f>H17</f>
        <v>100</v>
      </c>
      <c r="V17" s="774" t="s">
        <v>17</v>
      </c>
      <c r="W17" s="775">
        <f>J17</f>
        <v>100</v>
      </c>
      <c r="X17" s="1813"/>
      <c r="Y17" s="3299"/>
      <c r="Z17" s="1814" t="str">
        <f>Q17</f>
        <v>交通便捷度</v>
      </c>
      <c r="AA17" s="1811">
        <f t="shared" si="3"/>
        <v>1</v>
      </c>
      <c r="AB17" s="1811">
        <f t="shared" si="4"/>
        <v>1</v>
      </c>
      <c r="AC17" s="2669">
        <f t="shared" si="5"/>
        <v>1</v>
      </c>
    </row>
    <row r="18" spans="1:29" ht="15">
      <c r="A18" s="428"/>
      <c r="B18" s="632"/>
      <c r="C18" s="2671"/>
      <c r="D18" s="450"/>
      <c r="E18" s="2606"/>
      <c r="F18" s="450"/>
      <c r="G18" s="2607"/>
      <c r="H18" s="448"/>
      <c r="I18" s="2607"/>
      <c r="J18" s="448"/>
      <c r="K18" s="615"/>
      <c r="L18" s="1140"/>
      <c r="M18" s="1131"/>
      <c r="N18" s="1131"/>
      <c r="O18" s="1131"/>
      <c r="P18" s="3354"/>
      <c r="Q18" s="1810"/>
      <c r="R18" s="774"/>
      <c r="S18" s="775"/>
      <c r="T18" s="774"/>
      <c r="U18" s="775"/>
      <c r="V18" s="774"/>
      <c r="W18" s="775"/>
      <c r="X18" s="1813"/>
      <c r="Y18" s="3299"/>
      <c r="Z18" s="1814"/>
      <c r="AA18" s="1811">
        <v>1</v>
      </c>
      <c r="AB18" s="1811">
        <v>1</v>
      </c>
      <c r="AC18" s="2669">
        <v>1</v>
      </c>
    </row>
    <row r="19" spans="1:29" ht="15">
      <c r="A19" s="428"/>
      <c r="B19" s="631" t="s">
        <v>2673</v>
      </c>
      <c r="C19" s="2670"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54"/>
      <c r="Q19" s="1810" t="str">
        <f>B19</f>
        <v>公共配套设施</v>
      </c>
      <c r="R19" s="774" t="s">
        <v>17</v>
      </c>
      <c r="S19" s="775">
        <f>F19</f>
        <v>100</v>
      </c>
      <c r="T19" s="774" t="s">
        <v>17</v>
      </c>
      <c r="U19" s="775">
        <f>H19</f>
        <v>100</v>
      </c>
      <c r="V19" s="774" t="s">
        <v>17</v>
      </c>
      <c r="W19" s="775">
        <f>J19</f>
        <v>100</v>
      </c>
      <c r="X19" s="1813"/>
      <c r="Y19" s="3299"/>
      <c r="Z19" s="1814" t="str">
        <f>Q19</f>
        <v>公共配套设施</v>
      </c>
      <c r="AA19" s="1811">
        <f t="shared" si="3"/>
        <v>1</v>
      </c>
      <c r="AB19" s="1811">
        <f t="shared" si="4"/>
        <v>1</v>
      </c>
      <c r="AC19" s="2669">
        <f t="shared" si="5"/>
        <v>1</v>
      </c>
    </row>
    <row r="20" spans="1:29" ht="15">
      <c r="A20" s="428"/>
      <c r="B20" s="632"/>
      <c r="C20" s="2608"/>
      <c r="D20" s="448"/>
      <c r="E20" s="2601"/>
      <c r="F20" s="448"/>
      <c r="G20" s="2602"/>
      <c r="H20" s="448"/>
      <c r="I20" s="2602"/>
      <c r="J20" s="448"/>
      <c r="K20" s="615"/>
      <c r="L20" s="1140"/>
      <c r="M20" s="1131"/>
      <c r="N20" s="1131"/>
      <c r="O20" s="1131"/>
      <c r="P20" s="3354"/>
      <c r="Q20" s="1810"/>
      <c r="R20" s="774"/>
      <c r="S20" s="775"/>
      <c r="T20" s="774"/>
      <c r="U20" s="775"/>
      <c r="V20" s="774"/>
      <c r="W20" s="775"/>
      <c r="X20" s="1813"/>
      <c r="Y20" s="3299"/>
      <c r="Z20" s="1814"/>
      <c r="AA20" s="1811">
        <v>1</v>
      </c>
      <c r="AB20" s="1811">
        <v>1</v>
      </c>
      <c r="AC20" s="2669">
        <v>1</v>
      </c>
    </row>
    <row r="21" spans="1:29" ht="15">
      <c r="A21" s="428"/>
      <c r="B21" s="633" t="s">
        <v>2674</v>
      </c>
      <c r="C21" s="2670"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54"/>
      <c r="Q21" s="1810" t="str">
        <f>B21</f>
        <v>基础设施水平</v>
      </c>
      <c r="R21" s="774" t="s">
        <v>17</v>
      </c>
      <c r="S21" s="775">
        <f>F21</f>
        <v>100</v>
      </c>
      <c r="T21" s="774" t="s">
        <v>17</v>
      </c>
      <c r="U21" s="775">
        <f>H21</f>
        <v>100</v>
      </c>
      <c r="V21" s="774" t="s">
        <v>17</v>
      </c>
      <c r="W21" s="775">
        <f>J21</f>
        <v>100</v>
      </c>
      <c r="X21" s="1813"/>
      <c r="Y21" s="3299"/>
      <c r="Z21" s="1814" t="str">
        <f>Q21</f>
        <v>基础设施水平</v>
      </c>
      <c r="AA21" s="1811">
        <f t="shared" ref="AA21" si="8">D21/F21</f>
        <v>1</v>
      </c>
      <c r="AB21" s="1811">
        <f t="shared" ref="AB21" si="9">D21/H21</f>
        <v>1</v>
      </c>
      <c r="AC21" s="2669">
        <f t="shared" ref="AC21" si="10">D21/J21</f>
        <v>1</v>
      </c>
    </row>
    <row r="22" spans="1:29" ht="15">
      <c r="A22" s="428"/>
      <c r="B22" s="633"/>
      <c r="C22" s="2671"/>
      <c r="D22" s="448"/>
      <c r="E22" s="447"/>
      <c r="F22" s="448"/>
      <c r="G22" s="2608"/>
      <c r="H22" s="448"/>
      <c r="I22" s="2608"/>
      <c r="J22" s="448"/>
      <c r="K22" s="1383"/>
      <c r="L22" s="1140"/>
      <c r="M22" s="1131"/>
      <c r="N22" s="1131"/>
      <c r="O22" s="1131"/>
      <c r="P22" s="3354"/>
      <c r="Q22" s="1810"/>
      <c r="R22" s="774"/>
      <c r="S22" s="775"/>
      <c r="T22" s="774"/>
      <c r="U22" s="775"/>
      <c r="V22" s="774"/>
      <c r="W22" s="775"/>
      <c r="X22" s="1813"/>
      <c r="Y22" s="3299"/>
      <c r="Z22" s="1814"/>
      <c r="AA22" s="1811">
        <v>1</v>
      </c>
      <c r="AB22" s="1811">
        <v>1</v>
      </c>
      <c r="AC22" s="2669">
        <v>1</v>
      </c>
    </row>
    <row r="23" spans="1:29" ht="15">
      <c r="A23" s="428"/>
      <c r="B23" s="631" t="s">
        <v>2675</v>
      </c>
      <c r="C23" s="2670"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54"/>
      <c r="Q23" s="1810" t="str">
        <f>B23</f>
        <v>环境质量</v>
      </c>
      <c r="R23" s="774" t="s">
        <v>17</v>
      </c>
      <c r="S23" s="775">
        <f>F23</f>
        <v>100</v>
      </c>
      <c r="T23" s="774" t="s">
        <v>17</v>
      </c>
      <c r="U23" s="775">
        <f>H23</f>
        <v>100</v>
      </c>
      <c r="V23" s="774" t="s">
        <v>17</v>
      </c>
      <c r="W23" s="775">
        <f>J23</f>
        <v>100</v>
      </c>
      <c r="X23" s="1813"/>
      <c r="Y23" s="3299"/>
      <c r="Z23" s="1814" t="str">
        <f>Q23</f>
        <v>环境质量</v>
      </c>
      <c r="AA23" s="1811">
        <f t="shared" si="3"/>
        <v>1</v>
      </c>
      <c r="AB23" s="1811">
        <f t="shared" si="4"/>
        <v>1</v>
      </c>
      <c r="AC23" s="2669">
        <f t="shared" si="5"/>
        <v>1</v>
      </c>
    </row>
    <row r="24" spans="1:29" ht="15">
      <c r="A24" s="428"/>
      <c r="B24" s="633"/>
      <c r="C24" s="2608"/>
      <c r="D24" s="448"/>
      <c r="E24" s="2601"/>
      <c r="F24" s="448"/>
      <c r="G24" s="2602"/>
      <c r="H24" s="448"/>
      <c r="I24" s="2602"/>
      <c r="J24" s="448"/>
      <c r="K24" s="615"/>
      <c r="L24" s="1140"/>
      <c r="M24" s="1131"/>
      <c r="N24" s="1131"/>
      <c r="O24" s="1131"/>
      <c r="P24" s="3354"/>
      <c r="Q24" s="1810"/>
      <c r="R24" s="774"/>
      <c r="S24" s="775"/>
      <c r="T24" s="774"/>
      <c r="U24" s="775"/>
      <c r="V24" s="774"/>
      <c r="W24" s="775"/>
      <c r="X24" s="1813"/>
      <c r="Y24" s="3299"/>
      <c r="Z24" s="1814"/>
      <c r="AA24" s="1811">
        <v>1</v>
      </c>
      <c r="AB24" s="1811">
        <v>1</v>
      </c>
      <c r="AC24" s="2669">
        <v>1</v>
      </c>
    </row>
    <row r="25" spans="1:29" ht="28.8">
      <c r="A25" s="404"/>
      <c r="B25" s="631" t="s">
        <v>2676</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354"/>
      <c r="Q25" s="1810" t="str">
        <f>B25</f>
        <v>毗邻道路的类型与等级</v>
      </c>
      <c r="R25" s="774" t="s">
        <v>17</v>
      </c>
      <c r="S25" s="775">
        <f>F25</f>
        <v>100</v>
      </c>
      <c r="T25" s="774" t="s">
        <v>17</v>
      </c>
      <c r="U25" s="775">
        <f>H25</f>
        <v>100</v>
      </c>
      <c r="V25" s="774" t="s">
        <v>17</v>
      </c>
      <c r="W25" s="775">
        <f>J25</f>
        <v>100</v>
      </c>
      <c r="X25" s="1813"/>
      <c r="Y25" s="3299"/>
      <c r="Z25" s="1814" t="str">
        <f>Q25</f>
        <v>毗邻道路的类型与等级</v>
      </c>
      <c r="AA25" s="1811">
        <f t="shared" si="3"/>
        <v>1</v>
      </c>
      <c r="AB25" s="1811">
        <f t="shared" si="4"/>
        <v>1</v>
      </c>
      <c r="AC25" s="2669">
        <f t="shared" si="5"/>
        <v>1</v>
      </c>
    </row>
    <row r="26" spans="1:29" ht="15">
      <c r="A26" s="404"/>
      <c r="B26" s="632"/>
      <c r="C26" s="634"/>
      <c r="D26" s="435"/>
      <c r="E26" s="616"/>
      <c r="F26" s="435"/>
      <c r="G26" s="634"/>
      <c r="H26" s="435"/>
      <c r="I26" s="616"/>
      <c r="J26" s="435"/>
      <c r="K26" s="615"/>
      <c r="L26" s="1140"/>
      <c r="M26" s="1131"/>
      <c r="N26" s="1131"/>
      <c r="O26" s="1131"/>
      <c r="P26" s="3354"/>
      <c r="Q26" s="1810"/>
      <c r="R26" s="774"/>
      <c r="S26" s="775"/>
      <c r="T26" s="774"/>
      <c r="U26" s="775"/>
      <c r="V26" s="774"/>
      <c r="W26" s="775"/>
      <c r="X26" s="1813"/>
      <c r="Y26" s="3299"/>
      <c r="Z26" s="1814"/>
      <c r="AA26" s="1811">
        <v>1</v>
      </c>
      <c r="AB26" s="1811">
        <v>1</v>
      </c>
      <c r="AC26" s="2669">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54"/>
      <c r="Q27" s="1810" t="str">
        <f t="shared" ref="Q27:Q47" si="11">B27</f>
        <v>楼层</v>
      </c>
      <c r="R27" s="774" t="s">
        <v>17</v>
      </c>
      <c r="S27" s="775">
        <f>F27</f>
        <v>100</v>
      </c>
      <c r="T27" s="774" t="s">
        <v>17</v>
      </c>
      <c r="U27" s="775">
        <f>H27</f>
        <v>100</v>
      </c>
      <c r="V27" s="774" t="s">
        <v>17</v>
      </c>
      <c r="W27" s="775">
        <f>J27</f>
        <v>100</v>
      </c>
      <c r="X27" s="1813"/>
      <c r="Y27" s="3299"/>
      <c r="Z27" s="1814" t="str">
        <f>Q27</f>
        <v>楼层</v>
      </c>
      <c r="AA27" s="1811">
        <f t="shared" si="3"/>
        <v>1</v>
      </c>
      <c r="AB27" s="1811">
        <f t="shared" si="4"/>
        <v>1</v>
      </c>
      <c r="AC27" s="2669">
        <f t="shared" si="5"/>
        <v>1</v>
      </c>
    </row>
    <row r="28" spans="1:29" s="117" customFormat="1" ht="15">
      <c r="A28" s="431"/>
      <c r="B28" s="631" t="s">
        <v>2677</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354"/>
      <c r="Q28" s="1795" t="str">
        <f t="shared" si="11"/>
        <v>朝向</v>
      </c>
      <c r="R28" s="770" t="s">
        <v>17</v>
      </c>
      <c r="S28" s="771">
        <f>F28</f>
        <v>100</v>
      </c>
      <c r="T28" s="770" t="s">
        <v>17</v>
      </c>
      <c r="U28" s="771">
        <f>H28</f>
        <v>100</v>
      </c>
      <c r="V28" s="770" t="s">
        <v>17</v>
      </c>
      <c r="W28" s="771">
        <f>J28</f>
        <v>100</v>
      </c>
      <c r="X28" s="772"/>
      <c r="Y28" s="3299"/>
      <c r="Z28" s="55" t="str">
        <f>Q28</f>
        <v>朝向</v>
      </c>
      <c r="AA28" s="1811">
        <f>D28/F28</f>
        <v>1</v>
      </c>
      <c r="AB28" s="1811">
        <f>D28/H28</f>
        <v>1</v>
      </c>
      <c r="AC28" s="2669">
        <f>D28/J28</f>
        <v>1</v>
      </c>
    </row>
    <row r="29" spans="1:29" ht="15">
      <c r="A29" s="428"/>
      <c r="B29" s="2673">
        <v>111</v>
      </c>
      <c r="C29" s="2612"/>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354"/>
      <c r="Q29" s="1810">
        <f t="shared" si="11"/>
        <v>111</v>
      </c>
      <c r="R29" s="774" t="s">
        <v>17</v>
      </c>
      <c r="S29" s="775">
        <f t="shared" ref="S29:S47" si="12">F29</f>
        <v>100</v>
      </c>
      <c r="T29" s="774" t="s">
        <v>17</v>
      </c>
      <c r="U29" s="775">
        <f t="shared" ref="U29:U47" si="13">H29</f>
        <v>100</v>
      </c>
      <c r="V29" s="774" t="s">
        <v>17</v>
      </c>
      <c r="W29" s="775">
        <f t="shared" ref="W29:W47" si="14">J29</f>
        <v>100</v>
      </c>
      <c r="X29" s="1813"/>
      <c r="Y29" s="3299"/>
      <c r="Z29" s="1814">
        <f t="shared" ref="Z29:Z47" si="15">Q29</f>
        <v>111</v>
      </c>
      <c r="AA29" s="1811">
        <f t="shared" si="3"/>
        <v>1</v>
      </c>
      <c r="AB29" s="1811">
        <f t="shared" si="4"/>
        <v>1</v>
      </c>
      <c r="AC29" s="2669">
        <f t="shared" si="5"/>
        <v>1</v>
      </c>
    </row>
    <row r="30" spans="1:29" ht="15">
      <c r="A30" s="428"/>
      <c r="B30" s="2673">
        <v>111</v>
      </c>
      <c r="C30" s="2612"/>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354"/>
      <c r="Q30" s="1810">
        <f t="shared" si="11"/>
        <v>111</v>
      </c>
      <c r="R30" s="774" t="s">
        <v>17</v>
      </c>
      <c r="S30" s="775">
        <f t="shared" si="12"/>
        <v>100</v>
      </c>
      <c r="T30" s="774" t="s">
        <v>17</v>
      </c>
      <c r="U30" s="775">
        <f t="shared" si="13"/>
        <v>100</v>
      </c>
      <c r="V30" s="774" t="s">
        <v>17</v>
      </c>
      <c r="W30" s="775">
        <f t="shared" si="14"/>
        <v>100</v>
      </c>
      <c r="X30" s="1813"/>
      <c r="Y30" s="3299"/>
      <c r="Z30" s="1814">
        <f t="shared" si="15"/>
        <v>111</v>
      </c>
      <c r="AA30" s="1811">
        <f t="shared" si="3"/>
        <v>1</v>
      </c>
      <c r="AB30" s="1811">
        <f t="shared" si="4"/>
        <v>1</v>
      </c>
      <c r="AC30" s="2669">
        <f t="shared" si="5"/>
        <v>1</v>
      </c>
    </row>
    <row r="31" spans="1:29" ht="15">
      <c r="A31" s="428"/>
      <c r="B31" s="2673">
        <v>111</v>
      </c>
      <c r="C31" s="2612"/>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354"/>
      <c r="Q31" s="1810">
        <f t="shared" si="11"/>
        <v>111</v>
      </c>
      <c r="R31" s="774" t="s">
        <v>17</v>
      </c>
      <c r="S31" s="775">
        <f t="shared" si="12"/>
        <v>100</v>
      </c>
      <c r="T31" s="774" t="s">
        <v>17</v>
      </c>
      <c r="U31" s="775">
        <f t="shared" si="13"/>
        <v>100</v>
      </c>
      <c r="V31" s="774" t="s">
        <v>17</v>
      </c>
      <c r="W31" s="775">
        <f t="shared" si="14"/>
        <v>100</v>
      </c>
      <c r="X31" s="1813"/>
      <c r="Y31" s="3299"/>
      <c r="Z31" s="1814">
        <f t="shared" si="15"/>
        <v>111</v>
      </c>
      <c r="AA31" s="1811">
        <f t="shared" si="3"/>
        <v>1</v>
      </c>
      <c r="AB31" s="1811">
        <f t="shared" si="4"/>
        <v>1</v>
      </c>
      <c r="AC31" s="2669">
        <f t="shared" si="5"/>
        <v>1</v>
      </c>
    </row>
    <row r="32" spans="1:29" ht="15.6" thickBot="1">
      <c r="A32" s="436"/>
      <c r="B32" s="635">
        <v>111</v>
      </c>
      <c r="C32" s="2613"/>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354"/>
      <c r="Q32" s="1810">
        <f t="shared" si="11"/>
        <v>111</v>
      </c>
      <c r="R32" s="774" t="s">
        <v>17</v>
      </c>
      <c r="S32" s="775">
        <f t="shared" si="12"/>
        <v>100</v>
      </c>
      <c r="T32" s="774" t="s">
        <v>17</v>
      </c>
      <c r="U32" s="775">
        <f t="shared" si="13"/>
        <v>100</v>
      </c>
      <c r="V32" s="774" t="s">
        <v>17</v>
      </c>
      <c r="W32" s="775">
        <f t="shared" si="14"/>
        <v>100</v>
      </c>
      <c r="X32" s="1813"/>
      <c r="Y32" s="3299"/>
      <c r="Z32" s="1814">
        <f t="shared" si="15"/>
        <v>111</v>
      </c>
      <c r="AA32" s="1811">
        <f t="shared" si="3"/>
        <v>1</v>
      </c>
      <c r="AB32" s="1811">
        <f t="shared" si="4"/>
        <v>1</v>
      </c>
      <c r="AC32" s="2669">
        <f t="shared" si="5"/>
        <v>1</v>
      </c>
    </row>
    <row r="33" spans="1:29" ht="15">
      <c r="A33" s="440" t="s">
        <v>2549</v>
      </c>
      <c r="B33" s="71" t="s">
        <v>2678</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349" t="s">
        <v>2551</v>
      </c>
      <c r="Q33" s="1810" t="str">
        <f t="shared" si="11"/>
        <v>建筑类型</v>
      </c>
      <c r="R33" s="774" t="s">
        <v>17</v>
      </c>
      <c r="S33" s="775">
        <f t="shared" si="12"/>
        <v>100</v>
      </c>
      <c r="T33" s="774" t="s">
        <v>17</v>
      </c>
      <c r="U33" s="775">
        <f t="shared" si="13"/>
        <v>100</v>
      </c>
      <c r="V33" s="774" t="s">
        <v>17</v>
      </c>
      <c r="W33" s="775">
        <f t="shared" si="14"/>
        <v>100</v>
      </c>
      <c r="X33" s="1813"/>
      <c r="Y33" s="3301" t="s">
        <v>2551</v>
      </c>
      <c r="Z33" s="1814" t="str">
        <f t="shared" si="15"/>
        <v>建筑类型</v>
      </c>
      <c r="AA33" s="1811">
        <f t="shared" si="3"/>
        <v>1</v>
      </c>
      <c r="AB33" s="1811">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50"/>
      <c r="Q34" s="776" t="str">
        <f t="shared" si="11"/>
        <v>项目建筑规模</v>
      </c>
      <c r="R34" s="777" t="s">
        <v>17</v>
      </c>
      <c r="S34" s="778" t="e">
        <f t="shared" si="12"/>
        <v>#N/A</v>
      </c>
      <c r="T34" s="777" t="s">
        <v>17</v>
      </c>
      <c r="U34" s="778" t="e">
        <f t="shared" si="13"/>
        <v>#N/A</v>
      </c>
      <c r="V34" s="777" t="s">
        <v>17</v>
      </c>
      <c r="W34" s="778" t="e">
        <f t="shared" si="14"/>
        <v>#N/A</v>
      </c>
      <c r="X34" s="779"/>
      <c r="Y34" s="3301"/>
      <c r="Z34" s="780" t="str">
        <f t="shared" si="15"/>
        <v>项目建筑规模</v>
      </c>
      <c r="AA34" s="1811" t="e">
        <f t="shared" si="3"/>
        <v>#N/A</v>
      </c>
      <c r="AB34" s="1811"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50"/>
      <c r="Q35" s="1810" t="str">
        <f t="shared" si="11"/>
        <v>建筑结构</v>
      </c>
      <c r="R35" s="774" t="s">
        <v>17</v>
      </c>
      <c r="S35" s="775">
        <f t="shared" si="12"/>
        <v>100</v>
      </c>
      <c r="T35" s="774" t="s">
        <v>17</v>
      </c>
      <c r="U35" s="775">
        <f t="shared" si="13"/>
        <v>100</v>
      </c>
      <c r="V35" s="774" t="s">
        <v>17</v>
      </c>
      <c r="W35" s="775">
        <f t="shared" si="14"/>
        <v>100</v>
      </c>
      <c r="X35" s="1813"/>
      <c r="Y35" s="3301"/>
      <c r="Z35" s="1814" t="str">
        <f t="shared" si="15"/>
        <v>建筑结构</v>
      </c>
      <c r="AA35" s="1811">
        <f t="shared" si="3"/>
        <v>1</v>
      </c>
      <c r="AB35" s="1811">
        <f t="shared" si="4"/>
        <v>1</v>
      </c>
      <c r="AC35" s="2669">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50"/>
      <c r="Q36" s="1810" t="str">
        <f t="shared" si="11"/>
        <v>公共部分装修</v>
      </c>
      <c r="R36" s="774" t="s">
        <v>17</v>
      </c>
      <c r="S36" s="775">
        <f t="shared" si="12"/>
        <v>100</v>
      </c>
      <c r="T36" s="774" t="s">
        <v>17</v>
      </c>
      <c r="U36" s="775">
        <f t="shared" si="13"/>
        <v>100</v>
      </c>
      <c r="V36" s="774" t="s">
        <v>17</v>
      </c>
      <c r="W36" s="775">
        <f t="shared" si="14"/>
        <v>100</v>
      </c>
      <c r="X36" s="1813"/>
      <c r="Y36" s="3301"/>
      <c r="Z36" s="1814" t="str">
        <f t="shared" si="15"/>
        <v>公共部分装修</v>
      </c>
      <c r="AA36" s="1811">
        <f t="shared" si="3"/>
        <v>1</v>
      </c>
      <c r="AB36" s="1811">
        <f t="shared" si="4"/>
        <v>1</v>
      </c>
      <c r="AC36" s="2669">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50"/>
      <c r="Q37" s="1810" t="str">
        <f t="shared" si="11"/>
        <v>成新度</v>
      </c>
      <c r="R37" s="774" t="s">
        <v>17</v>
      </c>
      <c r="S37" s="775" t="e">
        <f t="shared" si="12"/>
        <v>#N/A</v>
      </c>
      <c r="T37" s="774" t="s">
        <v>17</v>
      </c>
      <c r="U37" s="775" t="e">
        <f t="shared" si="13"/>
        <v>#N/A</v>
      </c>
      <c r="V37" s="774" t="s">
        <v>17</v>
      </c>
      <c r="W37" s="775" t="e">
        <f t="shared" si="14"/>
        <v>#N/A</v>
      </c>
      <c r="X37" s="1813"/>
      <c r="Y37" s="3301"/>
      <c r="Z37" s="1814" t="str">
        <f t="shared" si="15"/>
        <v>成新度</v>
      </c>
      <c r="AA37" s="1811" t="e">
        <f t="shared" si="3"/>
        <v>#N/A</v>
      </c>
      <c r="AB37" s="1811" t="e">
        <f t="shared" si="4"/>
        <v>#N/A</v>
      </c>
      <c r="AC37" s="2669"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50"/>
      <c r="Q38" s="1795" t="str">
        <f t="shared" si="11"/>
        <v>写字楼等级</v>
      </c>
      <c r="R38" s="770" t="s">
        <v>17</v>
      </c>
      <c r="S38" s="771">
        <f t="shared" si="12"/>
        <v>100</v>
      </c>
      <c r="T38" s="770" t="s">
        <v>17</v>
      </c>
      <c r="U38" s="771">
        <f t="shared" si="13"/>
        <v>100</v>
      </c>
      <c r="V38" s="770" t="s">
        <v>17</v>
      </c>
      <c r="W38" s="771">
        <f t="shared" si="14"/>
        <v>100</v>
      </c>
      <c r="X38" s="772"/>
      <c r="Y38" s="3301"/>
      <c r="Z38" s="55" t="str">
        <f t="shared" si="15"/>
        <v>写字楼等级</v>
      </c>
      <c r="AA38" s="773">
        <f t="shared" si="3"/>
        <v>1</v>
      </c>
      <c r="AB38" s="773">
        <f t="shared" si="4"/>
        <v>1</v>
      </c>
      <c r="AC38" s="2666">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50" t="s">
        <v>2551</v>
      </c>
      <c r="Q39" s="1810" t="str">
        <f t="shared" si="11"/>
        <v>物业管理</v>
      </c>
      <c r="R39" s="774" t="s">
        <v>17</v>
      </c>
      <c r="S39" s="775">
        <f t="shared" si="12"/>
        <v>100</v>
      </c>
      <c r="T39" s="774" t="s">
        <v>17</v>
      </c>
      <c r="U39" s="775">
        <f t="shared" si="13"/>
        <v>100</v>
      </c>
      <c r="V39" s="774" t="s">
        <v>17</v>
      </c>
      <c r="W39" s="775">
        <f t="shared" si="14"/>
        <v>100</v>
      </c>
      <c r="X39" s="1813"/>
      <c r="Y39" s="3301" t="s">
        <v>2551</v>
      </c>
      <c r="Z39" s="1814" t="str">
        <f t="shared" si="15"/>
        <v>物业管理</v>
      </c>
      <c r="AA39" s="1811">
        <f t="shared" si="3"/>
        <v>1</v>
      </c>
      <c r="AB39" s="1811">
        <f t="shared" si="4"/>
        <v>1</v>
      </c>
      <c r="AC39" s="2669">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50"/>
      <c r="Q40" s="1810" t="str">
        <f t="shared" si="11"/>
        <v>市政基础设施</v>
      </c>
      <c r="R40" s="774" t="s">
        <v>17</v>
      </c>
      <c r="S40" s="775">
        <f t="shared" si="12"/>
        <v>100</v>
      </c>
      <c r="T40" s="774" t="s">
        <v>17</v>
      </c>
      <c r="U40" s="775">
        <f t="shared" si="13"/>
        <v>100</v>
      </c>
      <c r="V40" s="774" t="s">
        <v>17</v>
      </c>
      <c r="W40" s="775">
        <f t="shared" si="14"/>
        <v>100</v>
      </c>
      <c r="X40" s="1813"/>
      <c r="Y40" s="3301"/>
      <c r="Z40" s="1814" t="str">
        <f t="shared" si="15"/>
        <v>市政基础设施</v>
      </c>
      <c r="AA40" s="1811">
        <f t="shared" si="3"/>
        <v>1</v>
      </c>
      <c r="AB40" s="1811">
        <f t="shared" si="4"/>
        <v>1</v>
      </c>
      <c r="AC40" s="2669">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50"/>
      <c r="Q41" s="1810" t="str">
        <f t="shared" si="11"/>
        <v>层高</v>
      </c>
      <c r="R41" s="774" t="s">
        <v>17</v>
      </c>
      <c r="S41" s="775">
        <f t="shared" si="12"/>
        <v>100</v>
      </c>
      <c r="T41" s="774" t="s">
        <v>17</v>
      </c>
      <c r="U41" s="775">
        <f t="shared" si="13"/>
        <v>100</v>
      </c>
      <c r="V41" s="774" t="s">
        <v>17</v>
      </c>
      <c r="W41" s="775">
        <f t="shared" si="14"/>
        <v>100</v>
      </c>
      <c r="X41" s="1813"/>
      <c r="Y41" s="3301"/>
      <c r="Z41" s="1814" t="str">
        <f t="shared" si="15"/>
        <v>层高</v>
      </c>
      <c r="AA41" s="1811">
        <f t="shared" si="3"/>
        <v>1</v>
      </c>
      <c r="AB41" s="1811">
        <f t="shared" si="4"/>
        <v>1</v>
      </c>
      <c r="AC41" s="2669">
        <f t="shared" si="5"/>
        <v>1</v>
      </c>
    </row>
    <row r="42" spans="1:29" s="471" customFormat="1" ht="15">
      <c r="A42" s="468"/>
      <c r="B42" s="1812"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50"/>
      <c r="Q42" s="776" t="str">
        <f t="shared" si="11"/>
        <v>单套建筑面积</v>
      </c>
      <c r="R42" s="777" t="s">
        <v>17</v>
      </c>
      <c r="S42" s="778">
        <f t="shared" si="12"/>
        <v>100</v>
      </c>
      <c r="T42" s="777" t="s">
        <v>17</v>
      </c>
      <c r="U42" s="778">
        <f t="shared" si="13"/>
        <v>100</v>
      </c>
      <c r="V42" s="777" t="s">
        <v>17</v>
      </c>
      <c r="W42" s="778">
        <f t="shared" si="14"/>
        <v>100</v>
      </c>
      <c r="X42" s="779"/>
      <c r="Y42" s="3301"/>
      <c r="Z42" s="780" t="str">
        <f t="shared" si="15"/>
        <v>单套建筑面积</v>
      </c>
      <c r="AA42" s="1811">
        <f t="shared" si="3"/>
        <v>1</v>
      </c>
      <c r="AB42" s="1811">
        <f t="shared" si="4"/>
        <v>1</v>
      </c>
      <c r="AC42" s="2669">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50"/>
      <c r="Q43" s="1810" t="str">
        <f t="shared" si="11"/>
        <v>内部装修</v>
      </c>
      <c r="R43" s="774" t="s">
        <v>17</v>
      </c>
      <c r="S43" s="775">
        <f t="shared" si="12"/>
        <v>100</v>
      </c>
      <c r="T43" s="774" t="s">
        <v>17</v>
      </c>
      <c r="U43" s="775">
        <f t="shared" si="13"/>
        <v>100</v>
      </c>
      <c r="V43" s="774" t="s">
        <v>17</v>
      </c>
      <c r="W43" s="775">
        <f t="shared" si="14"/>
        <v>100</v>
      </c>
      <c r="X43" s="1813"/>
      <c r="Y43" s="3301"/>
      <c r="Z43" s="1814" t="str">
        <f t="shared" si="15"/>
        <v>内部装修</v>
      </c>
      <c r="AA43" s="1811">
        <f t="shared" si="3"/>
        <v>1</v>
      </c>
      <c r="AB43" s="1811">
        <f t="shared" si="4"/>
        <v>1</v>
      </c>
      <c r="AC43" s="2669">
        <f t="shared" si="5"/>
        <v>1</v>
      </c>
    </row>
    <row r="44" spans="1:29" ht="28.8">
      <c r="A44" s="472"/>
      <c r="B44" s="422" t="s">
        <v>2562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350"/>
      <c r="Q44" s="1810" t="str">
        <f t="shared" si="11"/>
        <v>内部装修维护情况</v>
      </c>
      <c r="R44" s="774" t="s">
        <v>17</v>
      </c>
      <c r="S44" s="775">
        <f t="shared" si="12"/>
        <v>100</v>
      </c>
      <c r="T44" s="774" t="s">
        <v>17</v>
      </c>
      <c r="U44" s="775">
        <f t="shared" si="13"/>
        <v>100</v>
      </c>
      <c r="V44" s="774" t="s">
        <v>17</v>
      </c>
      <c r="W44" s="775">
        <f t="shared" si="14"/>
        <v>100</v>
      </c>
      <c r="X44" s="1813"/>
      <c r="Y44" s="3301"/>
      <c r="Z44" s="1814" t="str">
        <f t="shared" si="15"/>
        <v>内部装修维护情况</v>
      </c>
      <c r="AA44" s="1811">
        <f t="shared" si="3"/>
        <v>1</v>
      </c>
      <c r="AB44" s="1811">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50"/>
      <c r="Q45" s="1795">
        <f t="shared" si="11"/>
        <v>111</v>
      </c>
      <c r="R45" s="770" t="s">
        <v>17</v>
      </c>
      <c r="S45" s="771">
        <f t="shared" si="12"/>
        <v>100</v>
      </c>
      <c r="T45" s="770" t="s">
        <v>17</v>
      </c>
      <c r="U45" s="771">
        <f t="shared" si="13"/>
        <v>100</v>
      </c>
      <c r="V45" s="770" t="s">
        <v>17</v>
      </c>
      <c r="W45" s="771">
        <f t="shared" si="14"/>
        <v>100</v>
      </c>
      <c r="X45" s="772"/>
      <c r="Y45" s="3301"/>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50"/>
      <c r="Q46" s="1810">
        <f t="shared" si="11"/>
        <v>111</v>
      </c>
      <c r="R46" s="774" t="s">
        <v>17</v>
      </c>
      <c r="S46" s="775">
        <f t="shared" si="12"/>
        <v>100</v>
      </c>
      <c r="T46" s="774" t="s">
        <v>17</v>
      </c>
      <c r="U46" s="775">
        <f t="shared" si="13"/>
        <v>100</v>
      </c>
      <c r="V46" s="774" t="s">
        <v>17</v>
      </c>
      <c r="W46" s="775">
        <f t="shared" si="14"/>
        <v>100</v>
      </c>
      <c r="X46" s="1813"/>
      <c r="Y46" s="3301"/>
      <c r="Z46" s="1814">
        <f t="shared" si="15"/>
        <v>111</v>
      </c>
      <c r="AA46" s="1811">
        <f t="shared" si="3"/>
        <v>1</v>
      </c>
      <c r="AB46" s="1811">
        <f t="shared" si="4"/>
        <v>1</v>
      </c>
      <c r="AC46" s="2669">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51"/>
      <c r="Q47" s="1810">
        <f t="shared" si="11"/>
        <v>111</v>
      </c>
      <c r="R47" s="774" t="s">
        <v>17</v>
      </c>
      <c r="S47" s="775">
        <f t="shared" si="12"/>
        <v>100</v>
      </c>
      <c r="T47" s="774" t="s">
        <v>17</v>
      </c>
      <c r="U47" s="775">
        <f t="shared" si="13"/>
        <v>100</v>
      </c>
      <c r="V47" s="774" t="s">
        <v>17</v>
      </c>
      <c r="W47" s="775">
        <f t="shared" si="14"/>
        <v>100</v>
      </c>
      <c r="X47" s="1813"/>
      <c r="Y47" s="3352"/>
      <c r="Z47" s="1814">
        <f t="shared" si="15"/>
        <v>111</v>
      </c>
      <c r="AA47" s="1811">
        <f t="shared" si="3"/>
        <v>1</v>
      </c>
      <c r="AB47" s="1811">
        <f t="shared" si="4"/>
        <v>1</v>
      </c>
      <c r="AC47" s="2669">
        <f t="shared" si="5"/>
        <v>1</v>
      </c>
    </row>
    <row r="48" spans="1:29" ht="14.4">
      <c r="A48" s="479" t="s">
        <v>2563</v>
      </c>
      <c r="B48" s="480"/>
      <c r="C48" s="1407" t="s">
        <v>1</v>
      </c>
      <c r="D48" s="1408"/>
      <c r="E48" s="1409"/>
      <c r="F48" s="1410"/>
      <c r="G48" s="1411"/>
      <c r="H48" s="1412"/>
      <c r="I48" s="1409"/>
      <c r="J48" s="485"/>
      <c r="K48" s="783"/>
      <c r="L48" s="1143"/>
      <c r="M48" s="1131"/>
      <c r="N48" s="1131"/>
      <c r="O48" s="1131"/>
      <c r="P48" s="3307" t="str">
        <f>A48</f>
        <v>成交单价（元/平方米）</v>
      </c>
      <c r="Q48" s="3283"/>
      <c r="R48" s="3348">
        <f>E48</f>
        <v>0</v>
      </c>
      <c r="S48" s="3348"/>
      <c r="T48" s="3348">
        <f>G48</f>
        <v>0</v>
      </c>
      <c r="U48" s="3348"/>
      <c r="V48" s="3348">
        <f>I48</f>
        <v>0</v>
      </c>
      <c r="W48" s="3348"/>
      <c r="X48" s="446"/>
      <c r="Y48" s="781"/>
      <c r="Z48" s="446"/>
      <c r="AA48" s="446"/>
      <c r="AB48" s="446"/>
      <c r="AC48" s="630"/>
    </row>
    <row r="49" spans="1:29" ht="1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307" t="str">
        <f>A49</f>
        <v>比较价值（元/平方米）</v>
      </c>
      <c r="Q49" s="3283"/>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446"/>
      <c r="Y49" s="446"/>
      <c r="Z49" s="446"/>
      <c r="AA49" s="446"/>
      <c r="AB49" s="446"/>
      <c r="AC49" s="630"/>
    </row>
    <row r="50" spans="1:29" ht="15" thickBot="1">
      <c r="A50" s="492" t="s">
        <v>2655</v>
      </c>
      <c r="B50" s="493"/>
      <c r="C50" s="1417" t="e">
        <f>R50</f>
        <v>#DIV/0!</v>
      </c>
      <c r="D50" s="1417"/>
      <c r="E50" s="1417"/>
      <c r="F50" s="1417"/>
      <c r="G50" s="1417"/>
      <c r="H50" s="1417"/>
      <c r="I50" s="1417"/>
      <c r="J50" s="494"/>
      <c r="K50" s="785"/>
      <c r="L50" s="1143"/>
      <c r="M50" s="1131"/>
      <c r="N50" s="1131"/>
      <c r="O50" s="1131"/>
      <c r="P50" s="3375" t="str">
        <f>A50</f>
        <v>估价对象XX用房的比较价值（楼面单价，元/平方米）</v>
      </c>
      <c r="Q50" s="3376"/>
      <c r="R50" s="3377" t="e">
        <f>IF(F1="售价",ROUND(AVERAGE(R49:V49),0),ROUND(AVERAGE(R49:V49),1))</f>
        <v>#DIV/0!</v>
      </c>
      <c r="S50" s="3377"/>
      <c r="T50" s="3377"/>
      <c r="U50" s="3377"/>
      <c r="V50" s="3377"/>
      <c r="W50" s="3377"/>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2.2" thickBot="1">
      <c r="A58" s="763" t="s">
        <v>2659</v>
      </c>
      <c r="B58" s="759"/>
      <c r="C58" s="764"/>
      <c r="D58" s="764"/>
      <c r="E58" s="764"/>
      <c r="F58" s="765"/>
      <c r="G58" s="765"/>
      <c r="H58" s="764"/>
      <c r="I58" s="764"/>
      <c r="J58" s="764"/>
      <c r="K58" s="766"/>
      <c r="L58" s="1161"/>
      <c r="M58" s="1159"/>
      <c r="N58" s="1159"/>
      <c r="O58" s="1159"/>
      <c r="P58" s="2676"/>
      <c r="Q58" s="504"/>
    </row>
    <row r="59" spans="1:29" s="508" customFormat="1" ht="14.4">
      <c r="A59" s="505" t="s">
        <v>2534</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c r="A60" s="509"/>
      <c r="B60" s="510"/>
      <c r="C60" s="1573">
        <v>100</v>
      </c>
      <c r="D60" s="512"/>
      <c r="E60" s="512"/>
      <c r="F60" s="512"/>
      <c r="G60" s="512"/>
      <c r="H60" s="512"/>
      <c r="I60" s="512"/>
      <c r="J60" s="512"/>
      <c r="K60" s="512"/>
      <c r="L60" s="512"/>
      <c r="M60" s="513"/>
      <c r="N60" s="512"/>
      <c r="O60" s="513"/>
      <c r="P60" s="2677"/>
    </row>
    <row r="61" spans="1:29" s="117" customFormat="1" ht="15" thickBot="1">
      <c r="A61" s="515" t="s">
        <v>2570</v>
      </c>
      <c r="B61" s="516"/>
      <c r="C61" s="517"/>
      <c r="D61" s="518"/>
      <c r="E61" s="518"/>
      <c r="F61" s="518"/>
      <c r="G61" s="518"/>
      <c r="H61" s="518"/>
      <c r="I61" s="518"/>
      <c r="J61" s="518"/>
      <c r="K61" s="518"/>
      <c r="L61" s="518"/>
      <c r="M61" s="519"/>
      <c r="N61" s="518"/>
      <c r="O61" s="519"/>
      <c r="P61" s="2677"/>
      <c r="Q61" s="504"/>
    </row>
    <row r="62" spans="1:29" s="117" customFormat="1" ht="14.4">
      <c r="A62" s="521" t="s">
        <v>2536</v>
      </c>
      <c r="B62" s="510"/>
      <c r="C62" s="522" t="s">
        <v>2637</v>
      </c>
      <c r="D62" s="523"/>
      <c r="E62" s="523"/>
      <c r="F62" s="523"/>
      <c r="G62" s="523"/>
      <c r="H62" s="523"/>
      <c r="I62" s="523"/>
      <c r="J62" s="523"/>
      <c r="K62" s="523"/>
      <c r="L62" s="524"/>
      <c r="M62" s="525"/>
      <c r="N62" s="1151"/>
      <c r="O62" s="1151"/>
      <c r="P62" s="2678"/>
      <c r="Q62" s="504"/>
    </row>
    <row r="63" spans="1:29" s="117" customFormat="1" ht="14.4" thickBot="1">
      <c r="A63" s="521"/>
      <c r="B63" s="510"/>
      <c r="C63" s="511">
        <v>100</v>
      </c>
      <c r="D63" s="512"/>
      <c r="E63" s="512"/>
      <c r="F63" s="512"/>
      <c r="G63" s="512"/>
      <c r="H63" s="512"/>
      <c r="I63" s="512"/>
      <c r="J63" s="512"/>
      <c r="K63" s="512"/>
      <c r="L63" s="512"/>
      <c r="M63" s="514"/>
      <c r="N63" s="1151"/>
      <c r="O63" s="1151"/>
      <c r="P63" s="2677"/>
      <c r="Q63" s="504"/>
    </row>
    <row r="64" spans="1:29" ht="14.4">
      <c r="A64" s="527" t="s">
        <v>2573</v>
      </c>
      <c r="B64" s="528" t="s">
        <v>2540</v>
      </c>
      <c r="C64" s="529">
        <f>C9</f>
        <v>0</v>
      </c>
      <c r="D64" s="530"/>
      <c r="E64" s="530"/>
      <c r="F64" s="530"/>
      <c r="G64" s="530"/>
      <c r="H64" s="530"/>
      <c r="I64" s="530"/>
      <c r="J64" s="530"/>
      <c r="K64" s="531"/>
      <c r="L64" s="532"/>
      <c r="M64" s="533"/>
      <c r="N64" s="1152"/>
      <c r="O64" s="1152"/>
      <c r="P64" s="2679"/>
      <c r="Q64" s="504"/>
    </row>
    <row r="65" spans="1:17" ht="14.4" thickBot="1">
      <c r="A65" s="534"/>
      <c r="B65" s="535"/>
      <c r="C65" s="536">
        <v>100</v>
      </c>
      <c r="D65" s="536"/>
      <c r="E65" s="536"/>
      <c r="F65" s="536"/>
      <c r="G65" s="536"/>
      <c r="H65" s="536"/>
      <c r="I65" s="536"/>
      <c r="J65" s="536"/>
      <c r="K65" s="536"/>
      <c r="L65" s="536"/>
      <c r="M65" s="537"/>
      <c r="N65" s="1153"/>
      <c r="O65" s="1153"/>
      <c r="P65" s="2679"/>
      <c r="Q65" s="504"/>
    </row>
    <row r="66" spans="1:17" ht="29.4" thickTop="1">
      <c r="A66" s="534"/>
      <c r="B66" s="538" t="s">
        <v>2543</v>
      </c>
      <c r="C66" s="539" t="s">
        <v>2574</v>
      </c>
      <c r="D66" s="539" t="s">
        <v>2575</v>
      </c>
      <c r="E66" s="539" t="s">
        <v>2576</v>
      </c>
      <c r="F66" s="539" t="s">
        <v>2577</v>
      </c>
      <c r="G66" s="539" t="s">
        <v>2578</v>
      </c>
      <c r="H66" s="539" t="s">
        <v>2579</v>
      </c>
      <c r="I66" s="539" t="s">
        <v>2580</v>
      </c>
      <c r="J66" s="539"/>
      <c r="K66" s="540"/>
      <c r="L66" s="541"/>
      <c r="M66" s="542"/>
      <c r="N66" s="1152"/>
      <c r="O66" s="1152"/>
      <c r="P66" s="267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c r="A69" s="534"/>
      <c r="B69" s="548"/>
      <c r="C69" s="549"/>
      <c r="D69" s="549"/>
      <c r="E69" s="549"/>
      <c r="F69" s="549"/>
      <c r="G69" s="549"/>
      <c r="H69" s="549"/>
      <c r="I69" s="549"/>
      <c r="J69" s="549"/>
      <c r="K69" s="550"/>
      <c r="L69" s="551"/>
      <c r="M69" s="552"/>
      <c r="N69" s="1152"/>
      <c r="O69" s="1152"/>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4.4" thickTop="1">
      <c r="A71" s="553"/>
      <c r="B71" s="538">
        <f>B12</f>
        <v>111</v>
      </c>
      <c r="C71" s="554"/>
      <c r="D71" s="554"/>
      <c r="E71" s="554"/>
      <c r="F71" s="554"/>
      <c r="G71" s="554"/>
      <c r="H71" s="555"/>
      <c r="I71" s="555"/>
      <c r="J71" s="555"/>
      <c r="K71" s="555"/>
      <c r="L71" s="556"/>
      <c r="M71" s="557"/>
      <c r="N71" s="1154"/>
      <c r="O71" s="1154"/>
      <c r="P71" s="2680"/>
      <c r="Q71" s="559"/>
    </row>
    <row r="72" spans="1:17" s="471" customFormat="1" ht="14.4" thickBot="1">
      <c r="A72" s="553"/>
      <c r="B72" s="543"/>
      <c r="C72" s="560"/>
      <c r="D72" s="536"/>
      <c r="E72" s="536"/>
      <c r="F72" s="536"/>
      <c r="G72" s="536"/>
      <c r="H72" s="536"/>
      <c r="I72" s="536"/>
      <c r="J72" s="536"/>
      <c r="K72" s="536"/>
      <c r="L72" s="536"/>
      <c r="M72" s="537"/>
      <c r="N72" s="1153"/>
      <c r="O72" s="1153"/>
      <c r="P72" s="2680"/>
      <c r="Q72" s="559"/>
    </row>
    <row r="73" spans="1:17" s="471" customFormat="1" ht="14.4" thickTop="1">
      <c r="A73" s="553"/>
      <c r="B73" s="538">
        <f>B13</f>
        <v>111</v>
      </c>
      <c r="C73" s="554"/>
      <c r="D73" s="554"/>
      <c r="E73" s="554"/>
      <c r="F73" s="554"/>
      <c r="G73" s="554"/>
      <c r="H73" s="555"/>
      <c r="I73" s="555"/>
      <c r="J73" s="555"/>
      <c r="K73" s="555"/>
      <c r="L73" s="556"/>
      <c r="M73" s="557"/>
      <c r="N73" s="1154"/>
      <c r="O73" s="1154"/>
      <c r="P73" s="2681"/>
      <c r="Q73" s="561"/>
    </row>
    <row r="74" spans="1:17" s="471" customFormat="1" ht="14.4" thickBot="1">
      <c r="A74" s="553"/>
      <c r="B74" s="543"/>
      <c r="C74" s="560"/>
      <c r="D74" s="560"/>
      <c r="E74" s="560"/>
      <c r="F74" s="560"/>
      <c r="G74" s="560"/>
      <c r="H74" s="562"/>
      <c r="I74" s="562"/>
      <c r="J74" s="562"/>
      <c r="K74" s="562"/>
      <c r="L74" s="562"/>
      <c r="M74" s="563"/>
      <c r="N74" s="1154"/>
      <c r="O74" s="1154"/>
      <c r="P74" s="2680"/>
      <c r="Q74" s="559"/>
    </row>
    <row r="75" spans="1:17" s="471" customFormat="1" ht="14.4" thickTop="1">
      <c r="A75" s="553"/>
      <c r="B75" s="546">
        <f>B14</f>
        <v>111</v>
      </c>
      <c r="C75" s="523"/>
      <c r="D75" s="523"/>
      <c r="E75" s="523"/>
      <c r="F75" s="523"/>
      <c r="G75" s="523"/>
      <c r="H75" s="564"/>
      <c r="I75" s="564"/>
      <c r="J75" s="564"/>
      <c r="K75" s="564"/>
      <c r="L75" s="565"/>
      <c r="M75" s="566"/>
      <c r="N75" s="1154"/>
      <c r="O75" s="1154"/>
      <c r="P75" s="2682"/>
      <c r="Q75" s="559"/>
    </row>
    <row r="76" spans="1:17" s="471" customFormat="1" ht="14.4" thickBot="1">
      <c r="A76" s="568"/>
      <c r="B76" s="569"/>
      <c r="C76" s="570"/>
      <c r="D76" s="570"/>
      <c r="E76" s="570"/>
      <c r="F76" s="570"/>
      <c r="G76" s="570"/>
      <c r="H76" s="571"/>
      <c r="I76" s="571"/>
      <c r="J76" s="571"/>
      <c r="K76" s="571"/>
      <c r="L76" s="571"/>
      <c r="M76" s="572"/>
      <c r="N76" s="1154"/>
      <c r="O76" s="1154"/>
      <c r="P76" s="2680"/>
      <c r="Q76" s="559"/>
    </row>
    <row r="77" spans="1:17" ht="14.4">
      <c r="A77" s="527" t="s">
        <v>2545</v>
      </c>
      <c r="B77" s="528" t="s">
        <v>2682</v>
      </c>
      <c r="C77" s="573" t="s">
        <v>2582</v>
      </c>
      <c r="D77" s="573" t="s">
        <v>2583</v>
      </c>
      <c r="E77" s="573" t="s">
        <v>2584</v>
      </c>
      <c r="F77" s="573" t="s">
        <v>2585</v>
      </c>
      <c r="G77" s="573" t="s">
        <v>2586</v>
      </c>
      <c r="H77" s="529"/>
      <c r="I77" s="529"/>
      <c r="J77" s="529"/>
      <c r="K77" s="574"/>
      <c r="L77" s="575"/>
      <c r="M77" s="576"/>
      <c r="N77" s="1152"/>
      <c r="O77" s="1152"/>
      <c r="P77" s="268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 thickTop="1">
      <c r="A79" s="534"/>
      <c r="B79" s="538" t="s">
        <v>2587</v>
      </c>
      <c r="C79" s="578" t="s">
        <v>2582</v>
      </c>
      <c r="D79" s="578" t="s">
        <v>2583</v>
      </c>
      <c r="E79" s="578" t="s">
        <v>2584</v>
      </c>
      <c r="F79" s="578" t="s">
        <v>2585</v>
      </c>
      <c r="G79" s="578" t="s">
        <v>2586</v>
      </c>
      <c r="H79" s="539"/>
      <c r="I79" s="539"/>
      <c r="J79" s="539"/>
      <c r="K79" s="540"/>
      <c r="L79" s="541"/>
      <c r="M79" s="542"/>
      <c r="N79" s="1152"/>
      <c r="O79" s="1152"/>
      <c r="P79" s="267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 thickTop="1">
      <c r="A81" s="534"/>
      <c r="B81" s="538" t="s">
        <v>2588</v>
      </c>
      <c r="C81" s="578" t="s">
        <v>2582</v>
      </c>
      <c r="D81" s="578" t="s">
        <v>2583</v>
      </c>
      <c r="E81" s="578" t="s">
        <v>2584</v>
      </c>
      <c r="F81" s="578" t="s">
        <v>2585</v>
      </c>
      <c r="G81" s="578" t="s">
        <v>2586</v>
      </c>
      <c r="H81" s="539"/>
      <c r="I81" s="539"/>
      <c r="J81" s="539"/>
      <c r="K81" s="540"/>
      <c r="L81" s="541"/>
      <c r="M81" s="542"/>
      <c r="N81" s="1152"/>
      <c r="O81" s="1152"/>
      <c r="P81" s="267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 thickTop="1">
      <c r="A83" s="534"/>
      <c r="B83" s="546" t="s">
        <v>2674</v>
      </c>
      <c r="C83" s="660" t="s">
        <v>2660</v>
      </c>
      <c r="D83" s="660" t="s">
        <v>2661</v>
      </c>
      <c r="E83" s="660" t="s">
        <v>2662</v>
      </c>
      <c r="F83" s="660" t="s">
        <v>2663</v>
      </c>
      <c r="G83" s="660" t="s">
        <v>2664</v>
      </c>
      <c r="H83" s="539"/>
      <c r="I83" s="539"/>
      <c r="J83" s="539"/>
      <c r="K83" s="539"/>
      <c r="L83" s="539"/>
      <c r="M83" s="1382"/>
      <c r="N83" s="1153"/>
      <c r="O83" s="1153"/>
      <c r="P83" s="267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 thickTop="1">
      <c r="A85" s="534"/>
      <c r="B85" s="538" t="s">
        <v>2683</v>
      </c>
      <c r="C85" s="578" t="s">
        <v>2582</v>
      </c>
      <c r="D85" s="578" t="s">
        <v>2583</v>
      </c>
      <c r="E85" s="578" t="s">
        <v>2584</v>
      </c>
      <c r="F85" s="578" t="s">
        <v>2585</v>
      </c>
      <c r="G85" s="578" t="s">
        <v>2586</v>
      </c>
      <c r="H85" s="539"/>
      <c r="I85" s="539"/>
      <c r="J85" s="539"/>
      <c r="K85" s="540"/>
      <c r="L85" s="541"/>
      <c r="M85" s="542"/>
      <c r="N85" s="1152"/>
      <c r="O85" s="1152"/>
      <c r="P85" s="267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9.4" thickTop="1">
      <c r="A87" s="579"/>
      <c r="B87" s="538" t="s">
        <v>2684</v>
      </c>
      <c r="C87" s="554"/>
      <c r="D87" s="554"/>
      <c r="E87" s="554"/>
      <c r="F87" s="554"/>
      <c r="G87" s="554"/>
      <c r="H87" s="554"/>
      <c r="I87" s="554"/>
      <c r="J87" s="554"/>
      <c r="K87" s="554"/>
      <c r="L87" s="580"/>
      <c r="M87" s="581"/>
      <c r="N87" s="1151"/>
      <c r="O87" s="1151"/>
      <c r="P87" s="267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4.4"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4.4" thickTop="1">
      <c r="A93" s="534"/>
      <c r="B93" s="538">
        <f>B29</f>
        <v>111</v>
      </c>
      <c r="C93" s="554"/>
      <c r="D93" s="554"/>
      <c r="E93" s="554"/>
      <c r="F93" s="554"/>
      <c r="G93" s="554"/>
      <c r="H93" s="554"/>
      <c r="I93" s="554"/>
      <c r="J93" s="554"/>
      <c r="K93" s="554"/>
      <c r="L93" s="580"/>
      <c r="M93" s="581"/>
      <c r="N93" s="1152"/>
      <c r="O93" s="1152"/>
      <c r="P93" s="2679"/>
      <c r="Q93" s="504"/>
    </row>
    <row r="94" spans="1:17" ht="14.4" thickBot="1">
      <c r="A94" s="534"/>
      <c r="B94" s="543"/>
      <c r="C94" s="560"/>
      <c r="D94" s="536"/>
      <c r="E94" s="536"/>
      <c r="F94" s="536"/>
      <c r="G94" s="536"/>
      <c r="H94" s="536"/>
      <c r="I94" s="536"/>
      <c r="J94" s="536"/>
      <c r="K94" s="536"/>
      <c r="L94" s="536"/>
      <c r="M94" s="537"/>
      <c r="N94" s="1153"/>
      <c r="O94" s="1153"/>
      <c r="P94" s="2679"/>
      <c r="Q94" s="504"/>
    </row>
    <row r="95" spans="1:17" ht="14.4" thickTop="1">
      <c r="A95" s="534"/>
      <c r="B95" s="538">
        <f>B30</f>
        <v>111</v>
      </c>
      <c r="C95" s="554"/>
      <c r="D95" s="554"/>
      <c r="E95" s="554"/>
      <c r="F95" s="554"/>
      <c r="G95" s="583"/>
      <c r="H95" s="583"/>
      <c r="I95" s="583"/>
      <c r="J95" s="583"/>
      <c r="K95" s="584"/>
      <c r="L95" s="585"/>
      <c r="M95" s="586"/>
      <c r="N95" s="1152"/>
      <c r="O95" s="1152"/>
      <c r="P95" s="2679"/>
      <c r="Q95" s="504"/>
    </row>
    <row r="96" spans="1:17" ht="14.4" thickBot="1">
      <c r="A96" s="534"/>
      <c r="B96" s="543"/>
      <c r="C96" s="560"/>
      <c r="D96" s="560"/>
      <c r="E96" s="560"/>
      <c r="F96" s="560"/>
      <c r="G96" s="536"/>
      <c r="H96" s="536"/>
      <c r="I96" s="536"/>
      <c r="J96" s="536"/>
      <c r="K96" s="536"/>
      <c r="L96" s="536"/>
      <c r="M96" s="537"/>
      <c r="N96" s="1153"/>
      <c r="O96" s="1153"/>
      <c r="P96" s="2679"/>
      <c r="Q96" s="504"/>
    </row>
    <row r="97" spans="1:17" ht="14.4" thickTop="1">
      <c r="A97" s="534"/>
      <c r="B97" s="538">
        <f>B31</f>
        <v>111</v>
      </c>
      <c r="C97" s="554"/>
      <c r="D97" s="554"/>
      <c r="E97" s="554"/>
      <c r="F97" s="554"/>
      <c r="G97" s="583"/>
      <c r="H97" s="583"/>
      <c r="I97" s="583"/>
      <c r="J97" s="583"/>
      <c r="K97" s="584"/>
      <c r="L97" s="585"/>
      <c r="M97" s="586"/>
      <c r="N97" s="1152"/>
      <c r="O97" s="1152"/>
      <c r="P97" s="2679"/>
      <c r="Q97" s="504"/>
    </row>
    <row r="98" spans="1:17" ht="14.4" thickBot="1">
      <c r="A98" s="534"/>
      <c r="B98" s="543"/>
      <c r="C98" s="560"/>
      <c r="D98" s="536"/>
      <c r="E98" s="536"/>
      <c r="F98" s="536"/>
      <c r="G98" s="536"/>
      <c r="H98" s="536"/>
      <c r="I98" s="536"/>
      <c r="J98" s="536"/>
      <c r="K98" s="536"/>
      <c r="L98" s="536"/>
      <c r="M98" s="537"/>
      <c r="N98" s="1153"/>
      <c r="O98" s="1153"/>
      <c r="P98" s="2679"/>
      <c r="Q98" s="504"/>
    </row>
    <row r="99" spans="1:17" ht="14.4" thickTop="1">
      <c r="A99" s="534"/>
      <c r="B99" s="546">
        <f>B32</f>
        <v>111</v>
      </c>
      <c r="C99" s="523"/>
      <c r="D99" s="523"/>
      <c r="E99" s="523"/>
      <c r="F99" s="523"/>
      <c r="G99" s="587"/>
      <c r="H99" s="587"/>
      <c r="I99" s="587"/>
      <c r="J99" s="587"/>
      <c r="K99" s="588"/>
      <c r="L99" s="589"/>
      <c r="M99" s="590"/>
      <c r="N99" s="1152"/>
      <c r="O99" s="1152"/>
      <c r="P99" s="2679"/>
      <c r="Q99" s="504"/>
    </row>
    <row r="100" spans="1:17" ht="14.4" thickBot="1">
      <c r="A100" s="2631"/>
      <c r="B100" s="569"/>
      <c r="C100" s="570"/>
      <c r="D100" s="570"/>
      <c r="E100" s="570"/>
      <c r="F100" s="570"/>
      <c r="G100" s="591"/>
      <c r="H100" s="591"/>
      <c r="I100" s="591"/>
      <c r="J100" s="591"/>
      <c r="K100" s="591"/>
      <c r="L100" s="591"/>
      <c r="M100" s="592"/>
      <c r="N100" s="1153"/>
      <c r="O100" s="1153"/>
      <c r="P100" s="2679"/>
      <c r="Q100" s="504"/>
    </row>
    <row r="101" spans="1:17" ht="14.4">
      <c r="A101" s="527" t="s">
        <v>2549</v>
      </c>
      <c r="B101" s="528" t="s">
        <v>2597</v>
      </c>
      <c r="C101" s="530"/>
      <c r="D101" s="530"/>
      <c r="E101" s="530"/>
      <c r="F101" s="530"/>
      <c r="G101" s="530"/>
      <c r="H101" s="530"/>
      <c r="I101" s="530"/>
      <c r="J101" s="530"/>
      <c r="K101" s="531"/>
      <c r="L101" s="532"/>
      <c r="M101" s="533"/>
      <c r="N101" s="1152"/>
      <c r="O101" s="1152"/>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2599</v>
      </c>
      <c r="C106" s="554"/>
      <c r="D106" s="554"/>
      <c r="E106" s="583"/>
      <c r="F106" s="583"/>
      <c r="G106" s="583"/>
      <c r="H106" s="583"/>
      <c r="I106" s="583"/>
      <c r="J106" s="583"/>
      <c r="K106" s="584"/>
      <c r="L106" s="585"/>
      <c r="M106" s="586"/>
      <c r="N106" s="1152"/>
      <c r="O106" s="1152"/>
      <c r="P106" s="267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2601</v>
      </c>
      <c r="C108" s="554"/>
      <c r="D108" s="554"/>
      <c r="E108" s="554"/>
      <c r="F108" s="583"/>
      <c r="G108" s="583"/>
      <c r="H108" s="583"/>
      <c r="I108" s="583"/>
      <c r="J108" s="583"/>
      <c r="K108" s="584"/>
      <c r="L108" s="585"/>
      <c r="M108" s="586"/>
      <c r="N108" s="1152"/>
      <c r="O108" s="1152"/>
      <c r="P108" s="267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8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2602</v>
      </c>
      <c r="C115" s="554"/>
      <c r="D115" s="554"/>
      <c r="E115" s="583"/>
      <c r="F115" s="583"/>
      <c r="G115" s="583"/>
      <c r="H115" s="583"/>
      <c r="I115" s="583"/>
      <c r="J115" s="583"/>
      <c r="K115" s="584"/>
      <c r="L115" s="585"/>
      <c r="M115" s="586"/>
      <c r="N115" s="1152"/>
      <c r="O115" s="1152"/>
      <c r="P115" s="267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2603</v>
      </c>
      <c r="C117" s="554"/>
      <c r="D117" s="554"/>
      <c r="E117" s="554"/>
      <c r="F117" s="554"/>
      <c r="G117" s="554"/>
      <c r="H117" s="583"/>
      <c r="I117" s="583"/>
      <c r="J117" s="583"/>
      <c r="K117" s="584"/>
      <c r="L117" s="585"/>
      <c r="M117" s="586"/>
      <c r="N117" s="1152"/>
      <c r="O117" s="1152"/>
      <c r="P117" s="267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2686</v>
      </c>
      <c r="C119" s="583"/>
      <c r="D119" s="583"/>
      <c r="E119" s="583"/>
      <c r="F119" s="583"/>
      <c r="G119" s="583"/>
      <c r="H119" s="583"/>
      <c r="I119" s="583"/>
      <c r="J119" s="583"/>
      <c r="K119" s="583"/>
      <c r="L119" s="2684"/>
      <c r="M119" s="2685"/>
      <c r="N119" s="1153"/>
      <c r="O119" s="1153"/>
      <c r="P119" s="268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80"/>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2605</v>
      </c>
      <c r="C123" s="554"/>
      <c r="D123" s="554"/>
      <c r="E123" s="554"/>
      <c r="F123" s="583"/>
      <c r="G123" s="583"/>
      <c r="H123" s="583"/>
      <c r="I123" s="583"/>
      <c r="J123" s="583"/>
      <c r="K123" s="584"/>
      <c r="L123" s="585"/>
      <c r="M123" s="586"/>
      <c r="N123" s="1152"/>
      <c r="O123" s="1152"/>
      <c r="P123" s="267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29.4"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0"/>
      <c r="Q128" s="559"/>
    </row>
    <row r="129" spans="1:17" ht="14.4" thickTop="1">
      <c r="A129" s="599"/>
      <c r="B129" s="538">
        <f>B46</f>
        <v>111</v>
      </c>
      <c r="C129" s="554"/>
      <c r="D129" s="554"/>
      <c r="E129" s="554"/>
      <c r="F129" s="554"/>
      <c r="G129" s="583"/>
      <c r="H129" s="583"/>
      <c r="I129" s="583"/>
      <c r="J129" s="583"/>
      <c r="K129" s="584"/>
      <c r="L129" s="585"/>
      <c r="M129" s="586"/>
      <c r="N129" s="1152"/>
      <c r="O129" s="1152"/>
      <c r="P129" s="2679"/>
      <c r="Q129" s="504"/>
    </row>
    <row r="130" spans="1:17" ht="14.4" thickBot="1">
      <c r="A130" s="534"/>
      <c r="B130" s="543"/>
      <c r="C130" s="560"/>
      <c r="D130" s="560"/>
      <c r="E130" s="560"/>
      <c r="F130" s="560"/>
      <c r="G130" s="536"/>
      <c r="H130" s="536"/>
      <c r="I130" s="536"/>
      <c r="J130" s="536"/>
      <c r="K130" s="536"/>
      <c r="L130" s="536"/>
      <c r="M130" s="537"/>
      <c r="N130" s="1153"/>
      <c r="O130" s="1153"/>
      <c r="P130" s="2679"/>
      <c r="Q130" s="504"/>
    </row>
    <row r="131" spans="1:17" ht="14.4" thickTop="1">
      <c r="A131" s="599"/>
      <c r="B131" s="546">
        <f>B47</f>
        <v>111</v>
      </c>
      <c r="C131" s="523"/>
      <c r="D131" s="523"/>
      <c r="E131" s="523"/>
      <c r="F131" s="523"/>
      <c r="G131" s="587"/>
      <c r="H131" s="587"/>
      <c r="I131" s="587"/>
      <c r="J131" s="587"/>
      <c r="K131" s="523"/>
      <c r="L131" s="524"/>
      <c r="M131" s="590"/>
      <c r="N131" s="1152"/>
      <c r="O131" s="1152"/>
      <c r="P131" s="2679"/>
      <c r="Q131" s="504"/>
    </row>
    <row r="132" spans="1:17" ht="14.4"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2514</v>
      </c>
      <c r="B1" s="2664" t="s">
        <v>2687</v>
      </c>
      <c r="C1" s="1620" t="s">
        <v>2516</v>
      </c>
      <c r="D1" s="1621"/>
      <c r="E1" s="1630"/>
      <c r="F1" s="2582"/>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IF(C2="——",ROUND(C43*D3/10000,0),ROUND(C43*D3/10000,0)-D2)</f>
        <v>#DIV/0!</v>
      </c>
      <c r="C2" s="2584"/>
      <c r="D2" s="1124" t="e">
        <f ca="1">SUMIF(INDIRECT("'"&amp;F2&amp;"'"&amp;"!A:A"),"承租人权益价值",INDIRECT("'"&amp;F2&amp;"'"&amp;"!c:c"))</f>
        <v>#REF!</v>
      </c>
      <c r="E2" s="2585" t="s">
        <v>2317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2629</v>
      </c>
      <c r="D3" s="399">
        <f>IF(D1="",'数据-汇总表'!E3,SUMIF('数据-汇总表'!$C19:$C33,D1,'数据-汇总表'!$E19:$E33))</f>
        <v>55474.460000000014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2630</v>
      </c>
      <c r="B4" s="402"/>
      <c r="C4" s="3284" t="s">
        <v>2631</v>
      </c>
      <c r="D4" s="3285"/>
      <c r="E4" s="3286" t="s">
        <v>2632</v>
      </c>
      <c r="F4" s="3287"/>
      <c r="G4" s="3284" t="s">
        <v>2633</v>
      </c>
      <c r="H4" s="3285"/>
      <c r="I4" s="3284" t="s">
        <v>2634</v>
      </c>
      <c r="J4" s="3285"/>
      <c r="K4" s="610" t="s">
        <v>2635</v>
      </c>
      <c r="L4" s="1130"/>
      <c r="M4" s="1131"/>
      <c r="N4" s="1131"/>
      <c r="O4" s="1131"/>
      <c r="P4" s="3288" t="s">
        <v>2636</v>
      </c>
      <c r="Q4" s="3289"/>
      <c r="R4" s="3271" t="s">
        <v>2632</v>
      </c>
      <c r="S4" s="3272"/>
      <c r="T4" s="3271" t="s">
        <v>2633</v>
      </c>
      <c r="U4" s="3272"/>
      <c r="V4" s="3296" t="s">
        <v>2634</v>
      </c>
      <c r="W4" s="3296"/>
      <c r="X4" s="1813"/>
      <c r="Y4" s="3271" t="s">
        <v>2636</v>
      </c>
      <c r="Z4" s="3272"/>
      <c r="AA4" s="3266" t="s">
        <v>2632</v>
      </c>
      <c r="AB4" s="3267" t="s">
        <v>2633</v>
      </c>
      <c r="AC4" s="3266" t="s">
        <v>2634</v>
      </c>
    </row>
    <row r="5" spans="1:29">
      <c r="A5" s="404"/>
      <c r="B5" s="405"/>
      <c r="C5" s="3357" t="s">
        <v>2528</v>
      </c>
      <c r="D5" s="3358"/>
      <c r="E5" s="3355" t="s">
        <v>2529</v>
      </c>
      <c r="F5" s="3356"/>
      <c r="G5" s="3357" t="s">
        <v>2530</v>
      </c>
      <c r="H5" s="3358"/>
      <c r="I5" s="3357" t="s">
        <v>2531</v>
      </c>
      <c r="J5" s="3358"/>
      <c r="K5" s="610"/>
      <c r="L5" s="1130"/>
      <c r="M5" s="1131"/>
      <c r="N5" s="1131"/>
      <c r="O5" s="1131"/>
      <c r="P5" s="3290"/>
      <c r="Q5" s="3291"/>
      <c r="R5" s="3273"/>
      <c r="S5" s="3274"/>
      <c r="T5" s="3273"/>
      <c r="U5" s="3274"/>
      <c r="V5" s="3296"/>
      <c r="W5" s="3296"/>
      <c r="X5" s="1813"/>
      <c r="Y5" s="3273"/>
      <c r="Z5" s="3274"/>
      <c r="AA5" s="3267"/>
      <c r="AB5" s="3267"/>
      <c r="AC5" s="3267"/>
    </row>
    <row r="6" spans="1:29" ht="15" thickBot="1">
      <c r="A6" s="406"/>
      <c r="B6" s="407"/>
      <c r="C6" s="3359" t="s">
        <v>2532</v>
      </c>
      <c r="D6" s="3360"/>
      <c r="E6" s="3361" t="s">
        <v>2532</v>
      </c>
      <c r="F6" s="3362"/>
      <c r="G6" s="3359" t="s">
        <v>2532</v>
      </c>
      <c r="H6" s="3360"/>
      <c r="I6" s="3359" t="s">
        <v>2532</v>
      </c>
      <c r="J6" s="3360"/>
      <c r="K6" s="610" t="s">
        <v>2533</v>
      </c>
      <c r="L6" s="1130"/>
      <c r="M6" s="1131"/>
      <c r="N6" s="1131"/>
      <c r="O6" s="1131"/>
      <c r="P6" s="3292"/>
      <c r="Q6" s="3293"/>
      <c r="R6" s="3273"/>
      <c r="S6" s="3274"/>
      <c r="T6" s="3294"/>
      <c r="U6" s="3295"/>
      <c r="V6" s="3296"/>
      <c r="W6" s="3296"/>
      <c r="X6" s="1813"/>
      <c r="Y6" s="3294"/>
      <c r="Z6" s="3295"/>
      <c r="AA6" s="3268"/>
      <c r="AB6" s="3268"/>
      <c r="AC6" s="3268"/>
    </row>
    <row r="7" spans="1:29" s="117" customFormat="1" ht="15" thickBot="1">
      <c r="A7" s="408" t="s">
        <v>2534</v>
      </c>
      <c r="B7" s="409"/>
      <c r="C7" s="410">
        <f>'数据-取费表'!B2</f>
        <v>43724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9" t="s">
        <v>2535</v>
      </c>
      <c r="Q7" s="3297"/>
      <c r="R7" s="770" t="s">
        <v>17</v>
      </c>
      <c r="S7" s="771">
        <f t="shared" ref="S7:S15" si="0">F7</f>
        <v>0</v>
      </c>
      <c r="T7" s="770" t="s">
        <v>17</v>
      </c>
      <c r="U7" s="771">
        <f t="shared" ref="U7:U15" si="1">H7</f>
        <v>0</v>
      </c>
      <c r="V7" s="770" t="s">
        <v>17</v>
      </c>
      <c r="W7" s="771">
        <f t="shared" ref="W7:W15" si="2">J7</f>
        <v>0</v>
      </c>
      <c r="X7" s="772"/>
      <c r="Y7" s="3269" t="s">
        <v>2535</v>
      </c>
      <c r="Z7" s="3270"/>
      <c r="AA7" s="773" t="e">
        <f>D7/F7</f>
        <v>#DIV/0!</v>
      </c>
      <c r="AB7" s="773" t="e">
        <f>D7/H7</f>
        <v>#DIV/0!</v>
      </c>
      <c r="AC7" s="773" t="e">
        <f>D7/J7</f>
        <v>#DIV/0!</v>
      </c>
    </row>
    <row r="8" spans="1:29" s="117" customFormat="1" ht="1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9" t="s">
        <v>2538</v>
      </c>
      <c r="Q8" s="3270"/>
      <c r="R8" s="770" t="s">
        <v>17</v>
      </c>
      <c r="S8" s="771">
        <f t="shared" si="0"/>
        <v>0</v>
      </c>
      <c r="T8" s="770" t="s">
        <v>17</v>
      </c>
      <c r="U8" s="771">
        <f t="shared" si="1"/>
        <v>0</v>
      </c>
      <c r="V8" s="770" t="s">
        <v>17</v>
      </c>
      <c r="W8" s="771">
        <f t="shared" si="2"/>
        <v>0</v>
      </c>
      <c r="X8" s="772"/>
      <c r="Y8" s="3269" t="s">
        <v>2538</v>
      </c>
      <c r="Z8" s="3270"/>
      <c r="AA8" s="773" t="e">
        <f t="shared" ref="AA8:AA40" si="3">D8/F8</f>
        <v>#DIV/0!</v>
      </c>
      <c r="AB8" s="773" t="e">
        <f t="shared" ref="AB8:AB40" si="4">D8/H8</f>
        <v>#DIV/0!</v>
      </c>
      <c r="AC8" s="773" t="e">
        <f t="shared" ref="AC8:AC40" si="5">D8/J8</f>
        <v>#DIV/0!</v>
      </c>
    </row>
    <row r="9" spans="1:29" s="117" customFormat="1" ht="14.4">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83" t="s">
        <v>2541</v>
      </c>
      <c r="Q9" s="1795" t="str">
        <f t="shared" ref="Q9:Q15" si="6">B9</f>
        <v>用途</v>
      </c>
      <c r="R9" s="770" t="s">
        <v>17</v>
      </c>
      <c r="S9" s="771">
        <f t="shared" si="0"/>
        <v>100</v>
      </c>
      <c r="T9" s="770" t="s">
        <v>17</v>
      </c>
      <c r="U9" s="771">
        <f t="shared" si="1"/>
        <v>100</v>
      </c>
      <c r="V9" s="770" t="s">
        <v>17</v>
      </c>
      <c r="W9" s="771">
        <f t="shared" si="2"/>
        <v>100</v>
      </c>
      <c r="X9" s="772"/>
      <c r="Y9" s="3143" t="s">
        <v>2542</v>
      </c>
      <c r="Z9" s="55" t="str">
        <f t="shared" ref="Z9:Z15" si="7">Q9</f>
        <v>用途</v>
      </c>
      <c r="AA9" s="773">
        <f t="shared" si="3"/>
        <v>1</v>
      </c>
      <c r="AB9" s="773">
        <f t="shared" si="4"/>
        <v>1</v>
      </c>
      <c r="AC9" s="773">
        <f t="shared" si="5"/>
        <v>1</v>
      </c>
    </row>
    <row r="10" spans="1:29" s="427" customFormat="1" ht="28.8">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83"/>
      <c r="Q10" s="1795" t="str">
        <f t="shared" si="6"/>
        <v>土地使用年限（年）</v>
      </c>
      <c r="R10" s="770" t="s">
        <v>17</v>
      </c>
      <c r="S10" s="771">
        <f t="shared" si="0"/>
        <v>100</v>
      </c>
      <c r="T10" s="770" t="s">
        <v>17</v>
      </c>
      <c r="U10" s="771">
        <f t="shared" si="1"/>
        <v>100</v>
      </c>
      <c r="V10" s="770" t="s">
        <v>17</v>
      </c>
      <c r="W10" s="771">
        <f t="shared" si="2"/>
        <v>100</v>
      </c>
      <c r="X10" s="772"/>
      <c r="Y10" s="3143"/>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83"/>
      <c r="Q11" s="1795" t="str">
        <f t="shared" si="6"/>
        <v>容积率</v>
      </c>
      <c r="R11" s="770" t="s">
        <v>17</v>
      </c>
      <c r="S11" s="771" t="e">
        <f t="shared" si="0"/>
        <v>#N/A</v>
      </c>
      <c r="T11" s="770" t="s">
        <v>17</v>
      </c>
      <c r="U11" s="771" t="e">
        <f t="shared" si="1"/>
        <v>#N/A</v>
      </c>
      <c r="V11" s="770" t="s">
        <v>17</v>
      </c>
      <c r="W11" s="771" t="e">
        <f t="shared" si="2"/>
        <v>#N/A</v>
      </c>
      <c r="X11" s="772"/>
      <c r="Y11" s="314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83"/>
      <c r="Q12" s="1795">
        <f t="shared" si="6"/>
        <v>111</v>
      </c>
      <c r="R12" s="770" t="s">
        <v>17</v>
      </c>
      <c r="S12" s="771">
        <f t="shared" si="0"/>
        <v>100</v>
      </c>
      <c r="T12" s="770" t="s">
        <v>17</v>
      </c>
      <c r="U12" s="771">
        <f t="shared" si="1"/>
        <v>100</v>
      </c>
      <c r="V12" s="770" t="s">
        <v>17</v>
      </c>
      <c r="W12" s="771">
        <f t="shared" si="2"/>
        <v>100</v>
      </c>
      <c r="X12" s="772"/>
      <c r="Y12" s="3143"/>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83"/>
      <c r="Q13" s="1795">
        <f t="shared" si="6"/>
        <v>111</v>
      </c>
      <c r="R13" s="770" t="s">
        <v>17</v>
      </c>
      <c r="S13" s="771">
        <f t="shared" si="0"/>
        <v>100</v>
      </c>
      <c r="T13" s="770" t="s">
        <v>17</v>
      </c>
      <c r="U13" s="771">
        <f t="shared" si="1"/>
        <v>100</v>
      </c>
      <c r="V13" s="770" t="s">
        <v>17</v>
      </c>
      <c r="W13" s="771">
        <f t="shared" si="2"/>
        <v>100</v>
      </c>
      <c r="X13" s="772"/>
      <c r="Y13" s="3143"/>
      <c r="Z13" s="55">
        <f t="shared" si="7"/>
        <v>111</v>
      </c>
      <c r="AA13" s="773">
        <f t="shared" si="3"/>
        <v>1</v>
      </c>
      <c r="AB13" s="773">
        <f t="shared" si="4"/>
        <v>1</v>
      </c>
      <c r="AC13" s="773">
        <f t="shared" si="5"/>
        <v>1</v>
      </c>
    </row>
    <row r="14" spans="1:29" ht="15.6" thickBot="1">
      <c r="A14" s="436"/>
      <c r="B14" s="2599">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83"/>
      <c r="Q14" s="1795">
        <f t="shared" si="6"/>
        <v>111</v>
      </c>
      <c r="R14" s="770" t="s">
        <v>17</v>
      </c>
      <c r="S14" s="771">
        <f t="shared" si="0"/>
        <v>100</v>
      </c>
      <c r="T14" s="770" t="s">
        <v>17</v>
      </c>
      <c r="U14" s="771">
        <f t="shared" si="1"/>
        <v>100</v>
      </c>
      <c r="V14" s="770" t="s">
        <v>17</v>
      </c>
      <c r="W14" s="771">
        <f t="shared" si="2"/>
        <v>100</v>
      </c>
      <c r="X14" s="772"/>
      <c r="Y14" s="3143"/>
      <c r="Z14" s="55">
        <f t="shared" si="7"/>
        <v>111</v>
      </c>
      <c r="AA14" s="773">
        <f t="shared" si="3"/>
        <v>1</v>
      </c>
      <c r="AB14" s="773">
        <f t="shared" si="4"/>
        <v>1</v>
      </c>
      <c r="AC14" s="773">
        <f t="shared" si="5"/>
        <v>1</v>
      </c>
    </row>
    <row r="15" spans="1:29" ht="15">
      <c r="A15" s="440" t="s">
        <v>2545</v>
      </c>
      <c r="B15" s="69" t="s">
        <v>2688</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98" t="s">
        <v>2546</v>
      </c>
      <c r="Q15" s="1810" t="str">
        <f t="shared" si="6"/>
        <v>产业集聚程度</v>
      </c>
      <c r="R15" s="774" t="s">
        <v>17</v>
      </c>
      <c r="S15" s="775">
        <f t="shared" si="0"/>
        <v>100</v>
      </c>
      <c r="T15" s="774" t="s">
        <v>17</v>
      </c>
      <c r="U15" s="775">
        <f t="shared" si="1"/>
        <v>100</v>
      </c>
      <c r="V15" s="774" t="s">
        <v>17</v>
      </c>
      <c r="W15" s="775">
        <f t="shared" si="2"/>
        <v>100</v>
      </c>
      <c r="X15" s="1813"/>
      <c r="Y15" s="3298"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99"/>
      <c r="Q16" s="1810"/>
      <c r="R16" s="774"/>
      <c r="S16" s="775"/>
      <c r="T16" s="774"/>
      <c r="U16" s="775"/>
      <c r="V16" s="774"/>
      <c r="W16" s="775"/>
      <c r="X16" s="1813"/>
      <c r="Y16" s="3299"/>
      <c r="Z16" s="1814"/>
      <c r="AA16" s="1811">
        <v>1</v>
      </c>
      <c r="AB16" s="1811">
        <v>1</v>
      </c>
      <c r="AC16" s="1811">
        <v>1</v>
      </c>
    </row>
    <row r="17" spans="1:29" ht="15">
      <c r="A17" s="428"/>
      <c r="B17" s="451" t="s">
        <v>2088</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99"/>
      <c r="Q17" s="1810" t="str">
        <f>B17</f>
        <v>交通便捷度</v>
      </c>
      <c r="R17" s="774" t="s">
        <v>17</v>
      </c>
      <c r="S17" s="775">
        <f>F17</f>
        <v>100</v>
      </c>
      <c r="T17" s="774" t="s">
        <v>17</v>
      </c>
      <c r="U17" s="775">
        <f>H17</f>
        <v>100</v>
      </c>
      <c r="V17" s="774" t="s">
        <v>17</v>
      </c>
      <c r="W17" s="775">
        <f>J17</f>
        <v>100</v>
      </c>
      <c r="X17" s="1813"/>
      <c r="Y17" s="3299"/>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99"/>
      <c r="Q18" s="1810"/>
      <c r="R18" s="774"/>
      <c r="S18" s="775"/>
      <c r="T18" s="774"/>
      <c r="U18" s="775"/>
      <c r="V18" s="774"/>
      <c r="W18" s="775"/>
      <c r="X18" s="1813"/>
      <c r="Y18" s="3299"/>
      <c r="Z18" s="1814"/>
      <c r="AA18" s="1811">
        <v>1</v>
      </c>
      <c r="AB18" s="1811">
        <v>1</v>
      </c>
      <c r="AC18" s="1811">
        <v>1</v>
      </c>
    </row>
    <row r="19" spans="1:29" ht="15">
      <c r="A19" s="428"/>
      <c r="B19" s="451" t="s">
        <v>2673</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99"/>
      <c r="Q19" s="1810" t="str">
        <f>B19</f>
        <v>公共配套设施</v>
      </c>
      <c r="R19" s="774" t="s">
        <v>17</v>
      </c>
      <c r="S19" s="775">
        <f>F19</f>
        <v>100</v>
      </c>
      <c r="T19" s="774" t="s">
        <v>17</v>
      </c>
      <c r="U19" s="775">
        <f>H19</f>
        <v>100</v>
      </c>
      <c r="V19" s="774" t="s">
        <v>17</v>
      </c>
      <c r="W19" s="775">
        <f>J19</f>
        <v>100</v>
      </c>
      <c r="X19" s="1813"/>
      <c r="Y19" s="3299"/>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99"/>
      <c r="Q20" s="1810"/>
      <c r="R20" s="774"/>
      <c r="S20" s="775"/>
      <c r="T20" s="774"/>
      <c r="U20" s="775"/>
      <c r="V20" s="774"/>
      <c r="W20" s="775"/>
      <c r="X20" s="1813"/>
      <c r="Y20" s="3299"/>
      <c r="Z20" s="1814"/>
      <c r="AA20" s="1811">
        <v>1</v>
      </c>
      <c r="AB20" s="1811">
        <v>1</v>
      </c>
      <c r="AC20" s="1811">
        <v>1</v>
      </c>
    </row>
    <row r="21" spans="1:29" ht="15">
      <c r="A21" s="428"/>
      <c r="B21" s="1384" t="s">
        <v>2674</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99"/>
      <c r="Q21" s="1810" t="str">
        <f>B21</f>
        <v>基础设施水平</v>
      </c>
      <c r="R21" s="774" t="s">
        <v>17</v>
      </c>
      <c r="S21" s="775">
        <f>F21</f>
        <v>100</v>
      </c>
      <c r="T21" s="774" t="s">
        <v>17</v>
      </c>
      <c r="U21" s="775">
        <f>H21</f>
        <v>100</v>
      </c>
      <c r="V21" s="774" t="s">
        <v>17</v>
      </c>
      <c r="W21" s="775">
        <f>J21</f>
        <v>100</v>
      </c>
      <c r="X21" s="1813"/>
      <c r="Y21" s="3299"/>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99"/>
      <c r="Q22" s="1810"/>
      <c r="R22" s="774"/>
      <c r="S22" s="775"/>
      <c r="T22" s="774"/>
      <c r="U22" s="775"/>
      <c r="V22" s="774"/>
      <c r="W22" s="775"/>
      <c r="X22" s="1813"/>
      <c r="Y22" s="3299"/>
      <c r="Z22" s="1814"/>
      <c r="AA22" s="1811">
        <v>1</v>
      </c>
      <c r="AB22" s="1811">
        <v>1</v>
      </c>
      <c r="AC22" s="1811">
        <v>1</v>
      </c>
    </row>
    <row r="23" spans="1:29" ht="15">
      <c r="A23" s="428"/>
      <c r="B23" s="451" t="s">
        <v>2675</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99"/>
      <c r="Q23" s="1810" t="str">
        <f>B23</f>
        <v>环境质量</v>
      </c>
      <c r="R23" s="774" t="s">
        <v>17</v>
      </c>
      <c r="S23" s="775">
        <f>F23</f>
        <v>100</v>
      </c>
      <c r="T23" s="774" t="s">
        <v>17</v>
      </c>
      <c r="U23" s="775">
        <f>H23</f>
        <v>100</v>
      </c>
      <c r="V23" s="774" t="s">
        <v>17</v>
      </c>
      <c r="W23" s="775">
        <f>J23</f>
        <v>100</v>
      </c>
      <c r="X23" s="1813"/>
      <c r="Y23" s="3299"/>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99"/>
      <c r="Q24" s="1810"/>
      <c r="R24" s="774"/>
      <c r="S24" s="775"/>
      <c r="T24" s="774"/>
      <c r="U24" s="775"/>
      <c r="V24" s="774"/>
      <c r="W24" s="775"/>
      <c r="X24" s="1813"/>
      <c r="Y24" s="329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99"/>
      <c r="Q25" s="1810">
        <f>B25</f>
        <v>111</v>
      </c>
      <c r="R25" s="774" t="s">
        <v>17</v>
      </c>
      <c r="S25" s="775">
        <f>F25</f>
        <v>100</v>
      </c>
      <c r="T25" s="774" t="s">
        <v>17</v>
      </c>
      <c r="U25" s="775">
        <f>H25</f>
        <v>100</v>
      </c>
      <c r="V25" s="774" t="s">
        <v>17</v>
      </c>
      <c r="W25" s="775">
        <f>J25</f>
        <v>100</v>
      </c>
      <c r="X25" s="1813"/>
      <c r="Y25" s="329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99"/>
      <c r="Q26" s="1810">
        <f t="shared" ref="Q26:Q40" si="11">B26</f>
        <v>111</v>
      </c>
      <c r="R26" s="774" t="s">
        <v>17</v>
      </c>
      <c r="S26" s="775">
        <f>F26</f>
        <v>100</v>
      </c>
      <c r="T26" s="774" t="s">
        <v>17</v>
      </c>
      <c r="U26" s="775">
        <f>H26</f>
        <v>100</v>
      </c>
      <c r="V26" s="774" t="s">
        <v>17</v>
      </c>
      <c r="W26" s="775">
        <f>J26</f>
        <v>100</v>
      </c>
      <c r="X26" s="1813"/>
      <c r="Y26" s="329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99"/>
      <c r="Q27" s="1795">
        <f t="shared" si="11"/>
        <v>111</v>
      </c>
      <c r="R27" s="770" t="s">
        <v>17</v>
      </c>
      <c r="S27" s="771">
        <f>F27</f>
        <v>100</v>
      </c>
      <c r="T27" s="770" t="s">
        <v>17</v>
      </c>
      <c r="U27" s="771">
        <f>H27</f>
        <v>100</v>
      </c>
      <c r="V27" s="770" t="s">
        <v>17</v>
      </c>
      <c r="W27" s="771">
        <f>J27</f>
        <v>100</v>
      </c>
      <c r="X27" s="772"/>
      <c r="Y27" s="3299"/>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99"/>
      <c r="Q28" s="1810">
        <f t="shared" si="11"/>
        <v>111</v>
      </c>
      <c r="R28" s="774" t="s">
        <v>17</v>
      </c>
      <c r="S28" s="775">
        <f t="shared" ref="S28:S40" si="12">F28</f>
        <v>100</v>
      </c>
      <c r="T28" s="774" t="s">
        <v>17</v>
      </c>
      <c r="U28" s="775">
        <f t="shared" ref="U28:U40" si="13">H28</f>
        <v>100</v>
      </c>
      <c r="V28" s="774" t="s">
        <v>17</v>
      </c>
      <c r="W28" s="775">
        <f t="shared" ref="W28:W40" si="14">J28</f>
        <v>100</v>
      </c>
      <c r="X28" s="1813"/>
      <c r="Y28" s="3299"/>
      <c r="Z28" s="1814">
        <f t="shared" ref="Z28:Z40" si="15">Q28</f>
        <v>111</v>
      </c>
      <c r="AA28" s="1811">
        <f t="shared" si="3"/>
        <v>1</v>
      </c>
      <c r="AB28" s="1811">
        <f t="shared" si="4"/>
        <v>1</v>
      </c>
      <c r="AC28" s="1811">
        <f t="shared" si="5"/>
        <v>1</v>
      </c>
    </row>
    <row r="29" spans="1:29" ht="30">
      <c r="A29" s="466" t="s">
        <v>2549</v>
      </c>
      <c r="B29" s="71" t="s">
        <v>2678</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300" t="s">
        <v>2551</v>
      </c>
      <c r="Q29" s="1810" t="str">
        <f t="shared" si="11"/>
        <v>建筑类型</v>
      </c>
      <c r="R29" s="774" t="s">
        <v>17</v>
      </c>
      <c r="S29" s="775">
        <f t="shared" si="12"/>
        <v>100</v>
      </c>
      <c r="T29" s="774" t="s">
        <v>17</v>
      </c>
      <c r="U29" s="775">
        <f t="shared" si="13"/>
        <v>100</v>
      </c>
      <c r="V29" s="774" t="s">
        <v>17</v>
      </c>
      <c r="W29" s="775">
        <f t="shared" si="14"/>
        <v>100</v>
      </c>
      <c r="X29" s="1813"/>
      <c r="Y29" s="3301"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01"/>
      <c r="Q30" s="776" t="str">
        <f t="shared" si="11"/>
        <v>项目建筑规模</v>
      </c>
      <c r="R30" s="777" t="s">
        <v>17</v>
      </c>
      <c r="S30" s="778" t="e">
        <f t="shared" si="12"/>
        <v>#N/A</v>
      </c>
      <c r="T30" s="777" t="s">
        <v>17</v>
      </c>
      <c r="U30" s="778" t="e">
        <f t="shared" si="13"/>
        <v>#N/A</v>
      </c>
      <c r="V30" s="777" t="s">
        <v>17</v>
      </c>
      <c r="W30" s="778" t="e">
        <f t="shared" si="14"/>
        <v>#N/A</v>
      </c>
      <c r="X30" s="779"/>
      <c r="Y30" s="3301"/>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01"/>
      <c r="Q31" s="1810" t="str">
        <f t="shared" si="11"/>
        <v>建筑结构</v>
      </c>
      <c r="R31" s="774" t="s">
        <v>17</v>
      </c>
      <c r="S31" s="775">
        <f t="shared" si="12"/>
        <v>100</v>
      </c>
      <c r="T31" s="774" t="s">
        <v>17</v>
      </c>
      <c r="U31" s="775">
        <f t="shared" si="13"/>
        <v>100</v>
      </c>
      <c r="V31" s="774" t="s">
        <v>17</v>
      </c>
      <c r="W31" s="775">
        <f t="shared" si="14"/>
        <v>100</v>
      </c>
      <c r="X31" s="1813"/>
      <c r="Y31" s="3301"/>
      <c r="Z31" s="1814" t="str">
        <f t="shared" si="15"/>
        <v>建筑结构</v>
      </c>
      <c r="AA31" s="1811">
        <f t="shared" si="3"/>
        <v>1</v>
      </c>
      <c r="AB31" s="1811">
        <f t="shared" si="4"/>
        <v>1</v>
      </c>
      <c r="AC31" s="1811">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01"/>
      <c r="Q32" s="1810" t="str">
        <f t="shared" si="11"/>
        <v>公共部分装修</v>
      </c>
      <c r="R32" s="774" t="s">
        <v>17</v>
      </c>
      <c r="S32" s="775">
        <f t="shared" si="12"/>
        <v>100</v>
      </c>
      <c r="T32" s="774" t="s">
        <v>17</v>
      </c>
      <c r="U32" s="775">
        <f t="shared" si="13"/>
        <v>100</v>
      </c>
      <c r="V32" s="774" t="s">
        <v>17</v>
      </c>
      <c r="W32" s="775">
        <f t="shared" si="14"/>
        <v>100</v>
      </c>
      <c r="X32" s="1813"/>
      <c r="Y32" s="3301"/>
      <c r="Z32" s="1814" t="str">
        <f t="shared" si="15"/>
        <v>公共部分装修</v>
      </c>
      <c r="AA32" s="1811">
        <f t="shared" si="3"/>
        <v>1</v>
      </c>
      <c r="AB32" s="1811">
        <f t="shared" si="4"/>
        <v>1</v>
      </c>
      <c r="AC32" s="1811">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01"/>
      <c r="Q33" s="1810" t="str">
        <f t="shared" si="11"/>
        <v>成新度</v>
      </c>
      <c r="R33" s="774" t="s">
        <v>17</v>
      </c>
      <c r="S33" s="775" t="e">
        <f t="shared" si="12"/>
        <v>#N/A</v>
      </c>
      <c r="T33" s="774" t="s">
        <v>17</v>
      </c>
      <c r="U33" s="775" t="e">
        <f t="shared" si="13"/>
        <v>#N/A</v>
      </c>
      <c r="V33" s="774" t="s">
        <v>17</v>
      </c>
      <c r="W33" s="775" t="e">
        <f t="shared" si="14"/>
        <v>#N/A</v>
      </c>
      <c r="X33" s="1813"/>
      <c r="Y33" s="3301"/>
      <c r="Z33" s="1814" t="str">
        <f t="shared" si="15"/>
        <v>成新度</v>
      </c>
      <c r="AA33" s="1811" t="e">
        <f t="shared" si="3"/>
        <v>#N/A</v>
      </c>
      <c r="AB33" s="1811" t="e">
        <f t="shared" si="4"/>
        <v>#N/A</v>
      </c>
      <c r="AC33" s="1811"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01"/>
      <c r="Q34" s="1795" t="str">
        <f t="shared" si="11"/>
        <v>物业管理</v>
      </c>
      <c r="R34" s="770" t="s">
        <v>17</v>
      </c>
      <c r="S34" s="771">
        <f t="shared" si="12"/>
        <v>100</v>
      </c>
      <c r="T34" s="770" t="s">
        <v>17</v>
      </c>
      <c r="U34" s="771">
        <f t="shared" si="13"/>
        <v>100</v>
      </c>
      <c r="V34" s="770" t="s">
        <v>17</v>
      </c>
      <c r="W34" s="771">
        <f t="shared" si="14"/>
        <v>100</v>
      </c>
      <c r="X34" s="772"/>
      <c r="Y34" s="3301"/>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01" t="s">
        <v>2551</v>
      </c>
      <c r="Q35" s="1810" t="str">
        <f t="shared" si="11"/>
        <v>市政基础设施</v>
      </c>
      <c r="R35" s="774" t="s">
        <v>17</v>
      </c>
      <c r="S35" s="775">
        <f t="shared" si="12"/>
        <v>100</v>
      </c>
      <c r="T35" s="774" t="s">
        <v>17</v>
      </c>
      <c r="U35" s="775">
        <f t="shared" si="13"/>
        <v>100</v>
      </c>
      <c r="V35" s="774" t="s">
        <v>17</v>
      </c>
      <c r="W35" s="775">
        <f t="shared" si="14"/>
        <v>100</v>
      </c>
      <c r="X35" s="1813"/>
      <c r="Y35" s="3301" t="s">
        <v>2551</v>
      </c>
      <c r="Z35" s="1814" t="str">
        <f t="shared" si="15"/>
        <v>市政基础设施</v>
      </c>
      <c r="AA35" s="1811">
        <f t="shared" si="3"/>
        <v>1</v>
      </c>
      <c r="AB35" s="1811">
        <f t="shared" si="4"/>
        <v>1</v>
      </c>
      <c r="AC35" s="1811">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01"/>
      <c r="Q36" s="1810" t="str">
        <f t="shared" si="11"/>
        <v>内部装修</v>
      </c>
      <c r="R36" s="774" t="s">
        <v>17</v>
      </c>
      <c r="S36" s="775">
        <f t="shared" si="12"/>
        <v>100</v>
      </c>
      <c r="T36" s="774" t="s">
        <v>17</v>
      </c>
      <c r="U36" s="775">
        <f t="shared" si="13"/>
        <v>100</v>
      </c>
      <c r="V36" s="774" t="s">
        <v>17</v>
      </c>
      <c r="W36" s="775">
        <f t="shared" si="14"/>
        <v>100</v>
      </c>
      <c r="X36" s="1813"/>
      <c r="Y36" s="3301"/>
      <c r="Z36" s="1814" t="str">
        <f t="shared" si="15"/>
        <v>内部装修</v>
      </c>
      <c r="AA36" s="1811">
        <f t="shared" si="3"/>
        <v>1</v>
      </c>
      <c r="AB36" s="1811">
        <f t="shared" si="4"/>
        <v>1</v>
      </c>
      <c r="AC36" s="1811">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01"/>
      <c r="Q37" s="1810" t="str">
        <f t="shared" si="11"/>
        <v>内部装修状况</v>
      </c>
      <c r="R37" s="774" t="s">
        <v>17</v>
      </c>
      <c r="S37" s="775">
        <f t="shared" si="12"/>
        <v>100</v>
      </c>
      <c r="T37" s="774" t="s">
        <v>17</v>
      </c>
      <c r="U37" s="775">
        <f t="shared" si="13"/>
        <v>100</v>
      </c>
      <c r="V37" s="774" t="s">
        <v>17</v>
      </c>
      <c r="W37" s="775">
        <f t="shared" si="14"/>
        <v>100</v>
      </c>
      <c r="X37" s="1813"/>
      <c r="Y37" s="330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01"/>
      <c r="Q38" s="776">
        <f t="shared" si="11"/>
        <v>111</v>
      </c>
      <c r="R38" s="777" t="s">
        <v>17</v>
      </c>
      <c r="S38" s="778">
        <f t="shared" si="12"/>
        <v>100</v>
      </c>
      <c r="T38" s="777" t="s">
        <v>17</v>
      </c>
      <c r="U38" s="778">
        <f t="shared" si="13"/>
        <v>100</v>
      </c>
      <c r="V38" s="777" t="s">
        <v>17</v>
      </c>
      <c r="W38" s="778">
        <f t="shared" si="14"/>
        <v>100</v>
      </c>
      <c r="X38" s="779"/>
      <c r="Y38" s="330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01"/>
      <c r="Q39" s="1810">
        <f t="shared" si="11"/>
        <v>111</v>
      </c>
      <c r="R39" s="774" t="s">
        <v>17</v>
      </c>
      <c r="S39" s="775">
        <f t="shared" si="12"/>
        <v>100</v>
      </c>
      <c r="T39" s="774" t="s">
        <v>17</v>
      </c>
      <c r="U39" s="775">
        <f t="shared" si="13"/>
        <v>100</v>
      </c>
      <c r="V39" s="774" t="s">
        <v>17</v>
      </c>
      <c r="W39" s="775">
        <f t="shared" si="14"/>
        <v>100</v>
      </c>
      <c r="X39" s="1813"/>
      <c r="Y39" s="3301"/>
      <c r="Z39" s="1814">
        <f t="shared" si="15"/>
        <v>111</v>
      </c>
      <c r="AA39" s="1811">
        <f t="shared" si="3"/>
        <v>1</v>
      </c>
      <c r="AB39" s="1811">
        <f t="shared" si="4"/>
        <v>1</v>
      </c>
      <c r="AC39" s="1811">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52"/>
      <c r="Q40" s="1810">
        <f t="shared" si="11"/>
        <v>111</v>
      </c>
      <c r="R40" s="774" t="s">
        <v>17</v>
      </c>
      <c r="S40" s="775">
        <f t="shared" si="12"/>
        <v>100</v>
      </c>
      <c r="T40" s="774" t="s">
        <v>17</v>
      </c>
      <c r="U40" s="775">
        <f t="shared" si="13"/>
        <v>100</v>
      </c>
      <c r="V40" s="774" t="s">
        <v>17</v>
      </c>
      <c r="W40" s="775">
        <f t="shared" si="14"/>
        <v>100</v>
      </c>
      <c r="X40" s="1813"/>
      <c r="Y40" s="3352"/>
      <c r="Z40" s="1814">
        <f t="shared" si="15"/>
        <v>111</v>
      </c>
      <c r="AA40" s="1811">
        <f t="shared" si="3"/>
        <v>1</v>
      </c>
      <c r="AB40" s="1811">
        <f t="shared" si="4"/>
        <v>1</v>
      </c>
      <c r="AC40" s="1811">
        <f t="shared" si="5"/>
        <v>1</v>
      </c>
    </row>
    <row r="41" spans="1:29" ht="14.4">
      <c r="A41" s="479" t="s">
        <v>2563</v>
      </c>
      <c r="B41" s="480"/>
      <c r="C41" s="1407" t="s">
        <v>1</v>
      </c>
      <c r="D41" s="1408"/>
      <c r="E41" s="1409"/>
      <c r="F41" s="1410"/>
      <c r="G41" s="1411"/>
      <c r="H41" s="1412"/>
      <c r="I41" s="1409"/>
      <c r="J41" s="1412"/>
      <c r="K41" s="783"/>
      <c r="L41" s="1143"/>
      <c r="M41" s="1144"/>
      <c r="N41" s="1131"/>
      <c r="O41" s="1144"/>
      <c r="P41" s="3283" t="str">
        <f>A41</f>
        <v>成交单价（元/平方米）</v>
      </c>
      <c r="Q41" s="3283"/>
      <c r="R41" s="3348">
        <f>E41</f>
        <v>0</v>
      </c>
      <c r="S41" s="3348"/>
      <c r="T41" s="3348">
        <f>G41</f>
        <v>0</v>
      </c>
      <c r="U41" s="3348"/>
      <c r="V41" s="3348">
        <f>I41</f>
        <v>0</v>
      </c>
      <c r="W41" s="3348"/>
      <c r="X41" s="759"/>
      <c r="Y41" s="781"/>
      <c r="Z41" s="759"/>
      <c r="AA41" s="759"/>
      <c r="AB41" s="759"/>
      <c r="AC41" s="759"/>
    </row>
    <row r="42" spans="1:29" ht="1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283" t="str">
        <f>A42</f>
        <v>比较价值（元/平方米）</v>
      </c>
      <c r="Q42" s="3283"/>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759"/>
      <c r="Y42" s="759"/>
      <c r="Z42" s="759"/>
      <c r="AA42" s="759"/>
      <c r="AB42" s="759"/>
      <c r="AC42" s="759"/>
    </row>
    <row r="43" spans="1:29" ht="15" thickBot="1">
      <c r="A43" s="492" t="s">
        <v>2655</v>
      </c>
      <c r="B43" s="493"/>
      <c r="C43" s="1417" t="e">
        <f>R43</f>
        <v>#DIV/0!</v>
      </c>
      <c r="D43" s="1417"/>
      <c r="E43" s="1417"/>
      <c r="F43" s="1417"/>
      <c r="G43" s="1417"/>
      <c r="H43" s="1417"/>
      <c r="I43" s="1417"/>
      <c r="J43" s="1417"/>
      <c r="K43" s="785"/>
      <c r="L43" s="1143"/>
      <c r="M43" s="1144"/>
      <c r="N43" s="1144"/>
      <c r="O43" s="1144"/>
      <c r="P43" s="3303" t="str">
        <f>A43</f>
        <v>估价对象XX用房的比较价值（楼面单价，元/平方米）</v>
      </c>
      <c r="Q43" s="3304"/>
      <c r="R43" s="3347" t="e">
        <f>IF(F1="售价",ROUND(AVERAGE(R42:V42),0),ROUND(AVERAGE(R42:V42),1))</f>
        <v>#DIV/0!</v>
      </c>
      <c r="S43" s="3347"/>
      <c r="T43" s="3347"/>
      <c r="U43" s="3347"/>
      <c r="V43" s="3347"/>
      <c r="W43" s="334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2659</v>
      </c>
      <c r="B51" s="759"/>
      <c r="C51" s="764"/>
      <c r="D51" s="764"/>
      <c r="E51" s="764"/>
      <c r="F51" s="765"/>
      <c r="G51" s="765"/>
      <c r="H51" s="764"/>
      <c r="I51" s="764"/>
      <c r="J51" s="764"/>
      <c r="K51" s="1160"/>
      <c r="L51" s="1161"/>
      <c r="M51" s="1159"/>
      <c r="N51" s="1159"/>
      <c r="O51" s="1159"/>
      <c r="P51" s="503"/>
      <c r="Q51" s="504"/>
    </row>
    <row r="52" spans="1:17" s="508" customFormat="1" ht="14.4">
      <c r="A52" s="505" t="s">
        <v>2534</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2570</v>
      </c>
      <c r="B54" s="516"/>
      <c r="C54" s="517"/>
      <c r="D54" s="518"/>
      <c r="E54" s="518"/>
      <c r="F54" s="518"/>
      <c r="G54" s="518"/>
      <c r="H54" s="518"/>
      <c r="I54" s="518"/>
      <c r="J54" s="518"/>
      <c r="K54" s="518"/>
      <c r="L54" s="518"/>
      <c r="M54" s="519"/>
      <c r="N54" s="518"/>
      <c r="O54" s="520"/>
      <c r="P54" s="504"/>
      <c r="Q54" s="504"/>
    </row>
    <row r="55" spans="1:17" s="117" customFormat="1" ht="14.4">
      <c r="A55" s="521" t="s">
        <v>2536</v>
      </c>
      <c r="B55" s="510"/>
      <c r="C55" s="522" t="s">
        <v>2637</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2573</v>
      </c>
      <c r="B57" s="528" t="s">
        <v>2540</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2543</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2545</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1"/>
      <c r="B87" s="569"/>
      <c r="C87" s="570"/>
      <c r="D87" s="570"/>
      <c r="E87" s="570"/>
      <c r="F87" s="570"/>
      <c r="G87" s="591"/>
      <c r="H87" s="591"/>
      <c r="I87" s="591"/>
      <c r="J87" s="591"/>
      <c r="K87" s="591"/>
      <c r="L87" s="591"/>
      <c r="M87" s="592"/>
      <c r="N87" s="1153"/>
      <c r="O87" s="1153"/>
      <c r="P87" s="45"/>
      <c r="Q87" s="504"/>
    </row>
    <row r="88" spans="1:17" ht="14.4">
      <c r="A88" s="527" t="s">
        <v>2549</v>
      </c>
      <c r="B88" s="528" t="s">
        <v>2597</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2692</v>
      </c>
      <c r="B1" s="1619"/>
      <c r="C1" s="1620" t="s">
        <v>2516</v>
      </c>
      <c r="D1" s="1621"/>
      <c r="E1" s="1622"/>
      <c r="F1" s="2582"/>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2316</v>
      </c>
      <c r="B2" s="1418" t="e">
        <f ca="1">IF(C2="——",IF(B37="元/平方米",ROUND(C39*D3/10000,0),ROUND(F3*C39/10000,0)),IF(B37="元/平方米",ROUND(C39*D3/10000,0),ROUND(F3*C39/10000,0))-D2)</f>
        <v>#DIV/0!</v>
      </c>
      <c r="C2" s="2584"/>
      <c r="D2" s="1124" t="e">
        <f ca="1">SUMIF(INDIRECT("'"&amp;F2&amp;"'"&amp;"!A:A"),"承租人权益价值",INDIRECT("'"&amp;F2&amp;"'"&amp;"!c:c"))</f>
        <v>#REF!</v>
      </c>
      <c r="E2" s="2585" t="s">
        <v>2317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2630</v>
      </c>
      <c r="B4" s="402"/>
      <c r="C4" s="3284" t="s">
        <v>2631</v>
      </c>
      <c r="D4" s="3285"/>
      <c r="E4" s="3286" t="s">
        <v>2632</v>
      </c>
      <c r="F4" s="3287"/>
      <c r="G4" s="3284" t="s">
        <v>2633</v>
      </c>
      <c r="H4" s="3285"/>
      <c r="I4" s="3284" t="s">
        <v>2634</v>
      </c>
      <c r="J4" s="3285"/>
      <c r="K4" s="610" t="s">
        <v>2635</v>
      </c>
      <c r="L4" s="1130"/>
      <c r="M4" s="1131"/>
      <c r="N4" s="1131"/>
      <c r="O4" s="1131"/>
      <c r="P4" s="3288" t="s">
        <v>2636</v>
      </c>
      <c r="Q4" s="3289"/>
      <c r="R4" s="3271" t="s">
        <v>2632</v>
      </c>
      <c r="S4" s="3272"/>
      <c r="T4" s="3271" t="s">
        <v>2633</v>
      </c>
      <c r="U4" s="3272"/>
      <c r="V4" s="3296" t="s">
        <v>2634</v>
      </c>
      <c r="W4" s="3296"/>
      <c r="X4" s="1813"/>
      <c r="Y4" s="3271" t="s">
        <v>2636</v>
      </c>
      <c r="Z4" s="3272"/>
      <c r="AA4" s="3266" t="s">
        <v>2632</v>
      </c>
      <c r="AB4" s="3267" t="s">
        <v>2633</v>
      </c>
      <c r="AC4" s="3266" t="s">
        <v>2634</v>
      </c>
    </row>
    <row r="5" spans="1:29">
      <c r="A5" s="404"/>
      <c r="B5" s="405"/>
      <c r="C5" s="3357" t="s">
        <v>2528</v>
      </c>
      <c r="D5" s="3358"/>
      <c r="E5" s="3355" t="s">
        <v>2529</v>
      </c>
      <c r="F5" s="3356"/>
      <c r="G5" s="3357" t="s">
        <v>2530</v>
      </c>
      <c r="H5" s="3358"/>
      <c r="I5" s="3357" t="s">
        <v>2531</v>
      </c>
      <c r="J5" s="3358"/>
      <c r="K5" s="610"/>
      <c r="L5" s="1130"/>
      <c r="M5" s="1131"/>
      <c r="N5" s="1131"/>
      <c r="O5" s="1131"/>
      <c r="P5" s="3290"/>
      <c r="Q5" s="3291"/>
      <c r="R5" s="3273"/>
      <c r="S5" s="3274"/>
      <c r="T5" s="3273"/>
      <c r="U5" s="3274"/>
      <c r="V5" s="3296"/>
      <c r="W5" s="3296"/>
      <c r="X5" s="1813"/>
      <c r="Y5" s="3273"/>
      <c r="Z5" s="3274"/>
      <c r="AA5" s="3267"/>
      <c r="AB5" s="3267"/>
      <c r="AC5" s="3267"/>
    </row>
    <row r="6" spans="1:29" ht="15" thickBot="1">
      <c r="A6" s="406"/>
      <c r="B6" s="407"/>
      <c r="C6" s="3359" t="s">
        <v>2532</v>
      </c>
      <c r="D6" s="3360"/>
      <c r="E6" s="3361" t="s">
        <v>2532</v>
      </c>
      <c r="F6" s="3362"/>
      <c r="G6" s="3359" t="s">
        <v>2532</v>
      </c>
      <c r="H6" s="3360"/>
      <c r="I6" s="3359" t="s">
        <v>2532</v>
      </c>
      <c r="J6" s="3360"/>
      <c r="K6" s="610" t="s">
        <v>2533</v>
      </c>
      <c r="L6" s="1130"/>
      <c r="M6" s="1131"/>
      <c r="N6" s="1131"/>
      <c r="O6" s="1131"/>
      <c r="P6" s="3292"/>
      <c r="Q6" s="3293"/>
      <c r="R6" s="3273"/>
      <c r="S6" s="3274"/>
      <c r="T6" s="3294"/>
      <c r="U6" s="3295"/>
      <c r="V6" s="3296"/>
      <c r="W6" s="3296"/>
      <c r="X6" s="1813"/>
      <c r="Y6" s="3294"/>
      <c r="Z6" s="3295"/>
      <c r="AA6" s="3268"/>
      <c r="AB6" s="3268"/>
      <c r="AC6" s="3268"/>
    </row>
    <row r="7" spans="1:29" s="117" customFormat="1" ht="15" thickBot="1">
      <c r="A7" s="408" t="s">
        <v>2534</v>
      </c>
      <c r="B7" s="409"/>
      <c r="C7" s="410">
        <f>'数据-取费表'!B2</f>
        <v>43724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9" t="s">
        <v>2535</v>
      </c>
      <c r="Q7" s="3297"/>
      <c r="R7" s="770" t="s">
        <v>17</v>
      </c>
      <c r="S7" s="771">
        <f t="shared" ref="S7:S14" si="0">F7</f>
        <v>0</v>
      </c>
      <c r="T7" s="770" t="s">
        <v>17</v>
      </c>
      <c r="U7" s="771">
        <f t="shared" ref="U7:U14" si="1">H7</f>
        <v>0</v>
      </c>
      <c r="V7" s="770" t="s">
        <v>17</v>
      </c>
      <c r="W7" s="771">
        <f t="shared" ref="W7:W14" si="2">J7</f>
        <v>0</v>
      </c>
      <c r="X7" s="772"/>
      <c r="Y7" s="3269" t="s">
        <v>2535</v>
      </c>
      <c r="Z7" s="3270"/>
      <c r="AA7" s="773" t="e">
        <f>D7/F7</f>
        <v>#DIV/0!</v>
      </c>
      <c r="AB7" s="773" t="e">
        <f>D7/H7</f>
        <v>#DIV/0!</v>
      </c>
      <c r="AC7" s="773" t="e">
        <f>D7/J7</f>
        <v>#DIV/0!</v>
      </c>
    </row>
    <row r="8" spans="1:29" s="117" customFormat="1" ht="15" thickBot="1">
      <c r="A8" s="408" t="s">
        <v>2536</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9" t="s">
        <v>2538</v>
      </c>
      <c r="Q8" s="3270"/>
      <c r="R8" s="770" t="s">
        <v>17</v>
      </c>
      <c r="S8" s="771">
        <f t="shared" si="0"/>
        <v>0</v>
      </c>
      <c r="T8" s="770" t="s">
        <v>17</v>
      </c>
      <c r="U8" s="771">
        <f t="shared" si="1"/>
        <v>0</v>
      </c>
      <c r="V8" s="770" t="s">
        <v>17</v>
      </c>
      <c r="W8" s="771">
        <f t="shared" si="2"/>
        <v>0</v>
      </c>
      <c r="X8" s="772"/>
      <c r="Y8" s="3269" t="s">
        <v>2538</v>
      </c>
      <c r="Z8" s="3270"/>
      <c r="AA8" s="773" t="e">
        <f t="shared" ref="AA8:AA36" si="3">D8/F8</f>
        <v>#DIV/0!</v>
      </c>
      <c r="AB8" s="773" t="e">
        <f t="shared" ref="AB8:AB36" si="4">D8/H8</f>
        <v>#DIV/0!</v>
      </c>
      <c r="AC8" s="773" t="e">
        <f t="shared" ref="AC8:AC36" si="5">D8/J8</f>
        <v>#DIV/0!</v>
      </c>
    </row>
    <row r="9" spans="1:29" s="117" customFormat="1" ht="14.4">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83" t="s">
        <v>2541</v>
      </c>
      <c r="Q9" s="1795" t="str">
        <f t="shared" ref="Q9:Q14" si="6">B9</f>
        <v>用途</v>
      </c>
      <c r="R9" s="770" t="s">
        <v>17</v>
      </c>
      <c r="S9" s="771">
        <f t="shared" si="0"/>
        <v>100</v>
      </c>
      <c r="T9" s="770" t="s">
        <v>17</v>
      </c>
      <c r="U9" s="771">
        <f t="shared" si="1"/>
        <v>100</v>
      </c>
      <c r="V9" s="770" t="s">
        <v>17</v>
      </c>
      <c r="W9" s="771">
        <f t="shared" si="2"/>
        <v>100</v>
      </c>
      <c r="X9" s="772"/>
      <c r="Y9" s="3143" t="s">
        <v>2542</v>
      </c>
      <c r="Z9" s="55" t="str">
        <f t="shared" ref="Z9:Z14" si="7">Q9</f>
        <v>用途</v>
      </c>
      <c r="AA9" s="773">
        <f t="shared" si="3"/>
        <v>1</v>
      </c>
      <c r="AB9" s="773">
        <f t="shared" si="4"/>
        <v>1</v>
      </c>
      <c r="AC9" s="773">
        <f t="shared" si="5"/>
        <v>1</v>
      </c>
    </row>
    <row r="10" spans="1:29" s="427" customFormat="1" ht="28.8">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83"/>
      <c r="Q10" s="1795" t="str">
        <f t="shared" si="6"/>
        <v>土地使用年限（年）</v>
      </c>
      <c r="R10" s="770" t="s">
        <v>17</v>
      </c>
      <c r="S10" s="771">
        <f t="shared" si="0"/>
        <v>100</v>
      </c>
      <c r="T10" s="770" t="s">
        <v>17</v>
      </c>
      <c r="U10" s="771">
        <f t="shared" si="1"/>
        <v>100</v>
      </c>
      <c r="V10" s="770" t="s">
        <v>17</v>
      </c>
      <c r="W10" s="771">
        <f t="shared" si="2"/>
        <v>100</v>
      </c>
      <c r="X10" s="772"/>
      <c r="Y10" s="31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83"/>
      <c r="Q11" s="1795">
        <f t="shared" si="6"/>
        <v>111</v>
      </c>
      <c r="R11" s="770" t="s">
        <v>17</v>
      </c>
      <c r="S11" s="771">
        <f t="shared" si="0"/>
        <v>100</v>
      </c>
      <c r="T11" s="770" t="s">
        <v>17</v>
      </c>
      <c r="U11" s="771">
        <f t="shared" si="1"/>
        <v>100</v>
      </c>
      <c r="V11" s="770" t="s">
        <v>17</v>
      </c>
      <c r="W11" s="771">
        <f t="shared" si="2"/>
        <v>100</v>
      </c>
      <c r="X11" s="772"/>
      <c r="Y11" s="31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83"/>
      <c r="Q12" s="1795">
        <f t="shared" si="6"/>
        <v>111</v>
      </c>
      <c r="R12" s="770" t="s">
        <v>17</v>
      </c>
      <c r="S12" s="771">
        <f t="shared" si="0"/>
        <v>100</v>
      </c>
      <c r="T12" s="770" t="s">
        <v>17</v>
      </c>
      <c r="U12" s="771">
        <f t="shared" si="1"/>
        <v>100</v>
      </c>
      <c r="V12" s="770" t="s">
        <v>17</v>
      </c>
      <c r="W12" s="771">
        <f t="shared" si="2"/>
        <v>100</v>
      </c>
      <c r="X12" s="772"/>
      <c r="Y12" s="314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83"/>
      <c r="Q13" s="1795">
        <f t="shared" si="6"/>
        <v>111</v>
      </c>
      <c r="R13" s="770" t="s">
        <v>17</v>
      </c>
      <c r="S13" s="771">
        <f t="shared" si="0"/>
        <v>100</v>
      </c>
      <c r="T13" s="770" t="s">
        <v>17</v>
      </c>
      <c r="U13" s="771">
        <f t="shared" si="1"/>
        <v>100</v>
      </c>
      <c r="V13" s="770" t="s">
        <v>17</v>
      </c>
      <c r="W13" s="771">
        <f t="shared" si="2"/>
        <v>100</v>
      </c>
      <c r="X13" s="772"/>
      <c r="Y13" s="3143"/>
      <c r="Z13" s="55">
        <f t="shared" si="7"/>
        <v>111</v>
      </c>
      <c r="AA13" s="773">
        <f t="shared" si="3"/>
        <v>1</v>
      </c>
      <c r="AB13" s="773">
        <f t="shared" si="4"/>
        <v>1</v>
      </c>
      <c r="AC13" s="773">
        <f t="shared" si="5"/>
        <v>1</v>
      </c>
    </row>
    <row r="14" spans="1:29" ht="15">
      <c r="A14" s="401" t="s">
        <v>2545</v>
      </c>
      <c r="B14" s="629" t="s">
        <v>2694</v>
      </c>
      <c r="C14" s="2688"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98" t="s">
        <v>2546</v>
      </c>
      <c r="Q14" s="1810" t="str">
        <f t="shared" si="6"/>
        <v>交通便捷度</v>
      </c>
      <c r="R14" s="774" t="s">
        <v>17</v>
      </c>
      <c r="S14" s="775">
        <f t="shared" si="0"/>
        <v>100</v>
      </c>
      <c r="T14" s="774" t="s">
        <v>17</v>
      </c>
      <c r="U14" s="775">
        <f t="shared" si="1"/>
        <v>100</v>
      </c>
      <c r="V14" s="774" t="s">
        <v>17</v>
      </c>
      <c r="W14" s="775">
        <f t="shared" si="2"/>
        <v>100</v>
      </c>
      <c r="X14" s="1813"/>
      <c r="Y14" s="3298"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99"/>
      <c r="Q15" s="1810"/>
      <c r="R15" s="774"/>
      <c r="S15" s="775"/>
      <c r="T15" s="774"/>
      <c r="U15" s="775"/>
      <c r="V15" s="774"/>
      <c r="W15" s="775"/>
      <c r="X15" s="1813"/>
      <c r="Y15" s="3299"/>
      <c r="Z15" s="1814"/>
      <c r="AA15" s="1811">
        <v>1</v>
      </c>
      <c r="AB15" s="1811">
        <v>1</v>
      </c>
      <c r="AC15" s="1811">
        <v>1</v>
      </c>
    </row>
    <row r="16" spans="1:29" ht="15">
      <c r="A16" s="404"/>
      <c r="B16" s="631" t="s">
        <v>2673</v>
      </c>
      <c r="C16" s="2604"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99"/>
      <c r="Q16" s="1810" t="str">
        <f>B16</f>
        <v>公共配套设施</v>
      </c>
      <c r="R16" s="774" t="s">
        <v>17</v>
      </c>
      <c r="S16" s="775">
        <f>F16</f>
        <v>100</v>
      </c>
      <c r="T16" s="774" t="s">
        <v>17</v>
      </c>
      <c r="U16" s="775">
        <f>H16</f>
        <v>100</v>
      </c>
      <c r="V16" s="774" t="s">
        <v>17</v>
      </c>
      <c r="W16" s="775">
        <f>J16</f>
        <v>100</v>
      </c>
      <c r="X16" s="1813"/>
      <c r="Y16" s="3299"/>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99"/>
      <c r="Q17" s="1810"/>
      <c r="R17" s="774"/>
      <c r="S17" s="775"/>
      <c r="T17" s="774"/>
      <c r="U17" s="775"/>
      <c r="V17" s="774"/>
      <c r="W17" s="775"/>
      <c r="X17" s="1813"/>
      <c r="Y17" s="3299"/>
      <c r="Z17" s="1814"/>
      <c r="AA17" s="1811">
        <v>1</v>
      </c>
      <c r="AB17" s="1811">
        <v>1</v>
      </c>
      <c r="AC17" s="1811">
        <v>1</v>
      </c>
    </row>
    <row r="18" spans="1:29" ht="15">
      <c r="A18" s="404"/>
      <c r="B18" s="633" t="s">
        <v>2674</v>
      </c>
      <c r="C18" s="2604"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99"/>
      <c r="Q18" s="1810" t="str">
        <f>B18</f>
        <v>基础设施水平</v>
      </c>
      <c r="R18" s="774" t="s">
        <v>17</v>
      </c>
      <c r="S18" s="775">
        <f>F18</f>
        <v>100</v>
      </c>
      <c r="T18" s="774" t="s">
        <v>17</v>
      </c>
      <c r="U18" s="775">
        <f>H18</f>
        <v>100</v>
      </c>
      <c r="V18" s="774" t="s">
        <v>17</v>
      </c>
      <c r="W18" s="775">
        <f>J18</f>
        <v>100</v>
      </c>
      <c r="X18" s="1813"/>
      <c r="Y18" s="3299"/>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99"/>
      <c r="Q19" s="1810"/>
      <c r="R19" s="774"/>
      <c r="S19" s="775"/>
      <c r="T19" s="774"/>
      <c r="U19" s="775"/>
      <c r="V19" s="774"/>
      <c r="W19" s="775"/>
      <c r="X19" s="1813"/>
      <c r="Y19" s="3299"/>
      <c r="Z19" s="1814"/>
      <c r="AA19" s="1811">
        <v>1</v>
      </c>
      <c r="AB19" s="1811">
        <v>1</v>
      </c>
      <c r="AC19" s="1811">
        <v>1</v>
      </c>
    </row>
    <row r="20" spans="1:29" ht="15">
      <c r="A20" s="404"/>
      <c r="B20" s="631" t="s">
        <v>2695</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99"/>
      <c r="Q20" s="1810" t="str">
        <f>B20</f>
        <v>自然及人文环境</v>
      </c>
      <c r="R20" s="774" t="s">
        <v>17</v>
      </c>
      <c r="S20" s="775">
        <f>F20</f>
        <v>100</v>
      </c>
      <c r="T20" s="774" t="s">
        <v>17</v>
      </c>
      <c r="U20" s="775">
        <f>H20</f>
        <v>100</v>
      </c>
      <c r="V20" s="774" t="s">
        <v>17</v>
      </c>
      <c r="W20" s="775">
        <f>J20</f>
        <v>100</v>
      </c>
      <c r="X20" s="1813"/>
      <c r="Y20" s="329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99"/>
      <c r="Q21" s="1810"/>
      <c r="R21" s="774"/>
      <c r="S21" s="775"/>
      <c r="T21" s="774"/>
      <c r="U21" s="775"/>
      <c r="V21" s="774"/>
      <c r="W21" s="775"/>
      <c r="X21" s="1813"/>
      <c r="Y21" s="3299"/>
      <c r="Z21" s="1814"/>
      <c r="AA21" s="1811">
        <v>1</v>
      </c>
      <c r="AB21" s="1811">
        <v>1</v>
      </c>
      <c r="AC21" s="1811">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99"/>
      <c r="Q22" s="1810" t="str">
        <f>B22</f>
        <v>楼层</v>
      </c>
      <c r="R22" s="774" t="s">
        <v>17</v>
      </c>
      <c r="S22" s="775">
        <f>F22</f>
        <v>100</v>
      </c>
      <c r="T22" s="774" t="s">
        <v>17</v>
      </c>
      <c r="U22" s="775">
        <f>H22</f>
        <v>100</v>
      </c>
      <c r="V22" s="774" t="s">
        <v>17</v>
      </c>
      <c r="W22" s="775">
        <f>J22</f>
        <v>100</v>
      </c>
      <c r="X22" s="1813"/>
      <c r="Y22" s="329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99"/>
      <c r="Q23" s="1810">
        <f>B23</f>
        <v>111</v>
      </c>
      <c r="R23" s="774" t="s">
        <v>17</v>
      </c>
      <c r="S23" s="775">
        <f>F23</f>
        <v>100</v>
      </c>
      <c r="T23" s="774" t="s">
        <v>17</v>
      </c>
      <c r="U23" s="775">
        <f>H23</f>
        <v>100</v>
      </c>
      <c r="V23" s="774" t="s">
        <v>17</v>
      </c>
      <c r="W23" s="775">
        <f>J23</f>
        <v>100</v>
      </c>
      <c r="X23" s="1813"/>
      <c r="Y23" s="329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99"/>
      <c r="Q24" s="1810">
        <f t="shared" ref="Q24:Q36" si="11">B24</f>
        <v>111</v>
      </c>
      <c r="R24" s="774" t="s">
        <v>17</v>
      </c>
      <c r="S24" s="775">
        <f>F24</f>
        <v>100</v>
      </c>
      <c r="T24" s="774" t="s">
        <v>17</v>
      </c>
      <c r="U24" s="775">
        <f>H24</f>
        <v>100</v>
      </c>
      <c r="V24" s="774" t="s">
        <v>17</v>
      </c>
      <c r="W24" s="775">
        <f>J24</f>
        <v>100</v>
      </c>
      <c r="X24" s="1813"/>
      <c r="Y24" s="3299"/>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99"/>
      <c r="Q25" s="1795">
        <f t="shared" si="11"/>
        <v>111</v>
      </c>
      <c r="R25" s="770" t="s">
        <v>17</v>
      </c>
      <c r="S25" s="771">
        <f>F25</f>
        <v>100</v>
      </c>
      <c r="T25" s="770" t="s">
        <v>17</v>
      </c>
      <c r="U25" s="771">
        <f>H25</f>
        <v>100</v>
      </c>
      <c r="V25" s="770" t="s">
        <v>17</v>
      </c>
      <c r="W25" s="771">
        <f>J25</f>
        <v>100</v>
      </c>
      <c r="X25" s="772"/>
      <c r="Y25" s="3299"/>
      <c r="Z25" s="55">
        <f>Q25</f>
        <v>111</v>
      </c>
      <c r="AA25" s="1811">
        <f>D25/F25</f>
        <v>1</v>
      </c>
      <c r="AB25" s="1811">
        <f>D25/H25</f>
        <v>1</v>
      </c>
      <c r="AC25" s="1811">
        <f>D25/J25</f>
        <v>1</v>
      </c>
    </row>
    <row r="26" spans="1:29" ht="30">
      <c r="A26" s="652" t="s">
        <v>2549</v>
      </c>
      <c r="B26" s="70" t="s">
        <v>2697</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0"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01" t="s">
        <v>2551</v>
      </c>
      <c r="Z26" s="1814" t="str">
        <f t="shared" ref="Z26:Z36" si="15">Q26</f>
        <v>配套类型</v>
      </c>
      <c r="AA26" s="1811">
        <f t="shared" si="3"/>
        <v>1</v>
      </c>
      <c r="AB26" s="1811">
        <f t="shared" si="4"/>
        <v>1</v>
      </c>
      <c r="AC26" s="1811">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01"/>
      <c r="Q27" s="776" t="str">
        <f t="shared" si="11"/>
        <v>项目停车位配比</v>
      </c>
      <c r="R27" s="777" t="s">
        <v>17</v>
      </c>
      <c r="S27" s="778">
        <f t="shared" si="12"/>
        <v>100</v>
      </c>
      <c r="T27" s="777" t="s">
        <v>17</v>
      </c>
      <c r="U27" s="778">
        <f t="shared" si="13"/>
        <v>100</v>
      </c>
      <c r="V27" s="777" t="s">
        <v>17</v>
      </c>
      <c r="W27" s="778">
        <f t="shared" si="14"/>
        <v>100</v>
      </c>
      <c r="X27" s="779"/>
      <c r="Y27" s="3301"/>
      <c r="Z27" s="780" t="str">
        <f t="shared" si="15"/>
        <v>项目停车位配比</v>
      </c>
      <c r="AA27" s="1811">
        <f t="shared" si="3"/>
        <v>1</v>
      </c>
      <c r="AB27" s="1811">
        <f t="shared" si="4"/>
        <v>1</v>
      </c>
      <c r="AC27" s="1811">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01"/>
      <c r="Q28" s="1810" t="str">
        <f t="shared" si="11"/>
        <v>公共部分装修</v>
      </c>
      <c r="R28" s="774" t="s">
        <v>17</v>
      </c>
      <c r="S28" s="775">
        <f t="shared" si="12"/>
        <v>100</v>
      </c>
      <c r="T28" s="774" t="s">
        <v>17</v>
      </c>
      <c r="U28" s="775">
        <f t="shared" si="13"/>
        <v>100</v>
      </c>
      <c r="V28" s="774" t="s">
        <v>17</v>
      </c>
      <c r="W28" s="775">
        <f t="shared" si="14"/>
        <v>100</v>
      </c>
      <c r="X28" s="1813"/>
      <c r="Y28" s="3301"/>
      <c r="Z28" s="1814" t="str">
        <f t="shared" si="15"/>
        <v>公共部分装修</v>
      </c>
      <c r="AA28" s="1811">
        <f t="shared" si="3"/>
        <v>1</v>
      </c>
      <c r="AB28" s="1811">
        <f t="shared" si="4"/>
        <v>1</v>
      </c>
      <c r="AC28" s="1811">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01"/>
      <c r="Q29" s="1810" t="str">
        <f t="shared" si="11"/>
        <v>成新率</v>
      </c>
      <c r="R29" s="774" t="s">
        <v>17</v>
      </c>
      <c r="S29" s="775" t="e">
        <f t="shared" si="12"/>
        <v>#N/A</v>
      </c>
      <c r="T29" s="774" t="s">
        <v>17</v>
      </c>
      <c r="U29" s="775" t="e">
        <f t="shared" si="13"/>
        <v>#N/A</v>
      </c>
      <c r="V29" s="774" t="s">
        <v>17</v>
      </c>
      <c r="W29" s="775" t="e">
        <f t="shared" si="14"/>
        <v>#N/A</v>
      </c>
      <c r="X29" s="1813"/>
      <c r="Y29" s="3301"/>
      <c r="Z29" s="1814" t="str">
        <f t="shared" si="15"/>
        <v>成新率</v>
      </c>
      <c r="AA29" s="1811" t="e">
        <f t="shared" si="3"/>
        <v>#N/A</v>
      </c>
      <c r="AB29" s="1811" t="e">
        <f t="shared" si="4"/>
        <v>#N/A</v>
      </c>
      <c r="AC29" s="1811"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01"/>
      <c r="Q30" s="1810" t="str">
        <f t="shared" si="11"/>
        <v>物业等级</v>
      </c>
      <c r="R30" s="774" t="s">
        <v>17</v>
      </c>
      <c r="S30" s="775">
        <f t="shared" si="12"/>
        <v>100</v>
      </c>
      <c r="T30" s="774" t="s">
        <v>17</v>
      </c>
      <c r="U30" s="775">
        <f t="shared" si="13"/>
        <v>100</v>
      </c>
      <c r="V30" s="774" t="s">
        <v>17</v>
      </c>
      <c r="W30" s="775">
        <f t="shared" si="14"/>
        <v>100</v>
      </c>
      <c r="X30" s="1813"/>
      <c r="Y30" s="3301"/>
      <c r="Z30" s="1814" t="str">
        <f t="shared" si="15"/>
        <v>物业等级</v>
      </c>
      <c r="AA30" s="1811">
        <f t="shared" si="3"/>
        <v>1</v>
      </c>
      <c r="AB30" s="1811">
        <f t="shared" si="4"/>
        <v>1</v>
      </c>
      <c r="AC30" s="1811">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01"/>
      <c r="Q31" s="1795" t="str">
        <f t="shared" si="11"/>
        <v>停车位面积</v>
      </c>
      <c r="R31" s="770" t="s">
        <v>17</v>
      </c>
      <c r="S31" s="771" t="e">
        <f t="shared" si="12"/>
        <v>#N/A</v>
      </c>
      <c r="T31" s="770" t="s">
        <v>17</v>
      </c>
      <c r="U31" s="771" t="e">
        <f t="shared" si="13"/>
        <v>#N/A</v>
      </c>
      <c r="V31" s="770" t="s">
        <v>17</v>
      </c>
      <c r="W31" s="771" t="e">
        <f t="shared" si="14"/>
        <v>#N/A</v>
      </c>
      <c r="X31" s="772"/>
      <c r="Y31" s="3301"/>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01" t="s">
        <v>2551</v>
      </c>
      <c r="Q32" s="1810" t="str">
        <f t="shared" si="11"/>
        <v>车位类型</v>
      </c>
      <c r="R32" s="774" t="s">
        <v>17</v>
      </c>
      <c r="S32" s="775">
        <f t="shared" si="12"/>
        <v>100</v>
      </c>
      <c r="T32" s="774" t="s">
        <v>17</v>
      </c>
      <c r="U32" s="775">
        <f t="shared" si="13"/>
        <v>100</v>
      </c>
      <c r="V32" s="774" t="s">
        <v>17</v>
      </c>
      <c r="W32" s="775">
        <f t="shared" si="14"/>
        <v>100</v>
      </c>
      <c r="X32" s="1813"/>
      <c r="Y32" s="3301" t="s">
        <v>2551</v>
      </c>
      <c r="Z32" s="1814" t="str">
        <f t="shared" si="15"/>
        <v>车位类型</v>
      </c>
      <c r="AA32" s="1811">
        <f t="shared" si="3"/>
        <v>1</v>
      </c>
      <c r="AB32" s="1811">
        <f t="shared" si="4"/>
        <v>1</v>
      </c>
      <c r="AC32" s="1811">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01"/>
      <c r="Q33" s="1810" t="str">
        <f t="shared" si="11"/>
        <v>是否直接入户</v>
      </c>
      <c r="R33" s="774" t="s">
        <v>17</v>
      </c>
      <c r="S33" s="775">
        <f t="shared" si="12"/>
        <v>100</v>
      </c>
      <c r="T33" s="774" t="s">
        <v>17</v>
      </c>
      <c r="U33" s="775">
        <f t="shared" si="13"/>
        <v>100</v>
      </c>
      <c r="V33" s="774" t="s">
        <v>17</v>
      </c>
      <c r="W33" s="775">
        <f t="shared" si="14"/>
        <v>100</v>
      </c>
      <c r="X33" s="1813"/>
      <c r="Y33" s="330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01"/>
      <c r="Q34" s="1810">
        <f t="shared" si="11"/>
        <v>111</v>
      </c>
      <c r="R34" s="774" t="s">
        <v>17</v>
      </c>
      <c r="S34" s="775">
        <f t="shared" si="12"/>
        <v>100</v>
      </c>
      <c r="T34" s="774" t="s">
        <v>17</v>
      </c>
      <c r="U34" s="775">
        <f t="shared" si="13"/>
        <v>100</v>
      </c>
      <c r="V34" s="774" t="s">
        <v>17</v>
      </c>
      <c r="W34" s="775">
        <f t="shared" si="14"/>
        <v>100</v>
      </c>
      <c r="X34" s="1813"/>
      <c r="Y34" s="330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01"/>
      <c r="Q35" s="776">
        <f t="shared" si="11"/>
        <v>111</v>
      </c>
      <c r="R35" s="777" t="s">
        <v>17</v>
      </c>
      <c r="S35" s="778">
        <f t="shared" si="12"/>
        <v>100</v>
      </c>
      <c r="T35" s="777" t="s">
        <v>17</v>
      </c>
      <c r="U35" s="778">
        <f t="shared" si="13"/>
        <v>100</v>
      </c>
      <c r="V35" s="777" t="s">
        <v>17</v>
      </c>
      <c r="W35" s="778">
        <f t="shared" si="14"/>
        <v>100</v>
      </c>
      <c r="X35" s="779"/>
      <c r="Y35" s="3301"/>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01"/>
      <c r="Q36" s="1810">
        <f t="shared" si="11"/>
        <v>111</v>
      </c>
      <c r="R36" s="774" t="s">
        <v>17</v>
      </c>
      <c r="S36" s="775">
        <f t="shared" si="12"/>
        <v>100</v>
      </c>
      <c r="T36" s="774" t="s">
        <v>17</v>
      </c>
      <c r="U36" s="775">
        <f t="shared" si="13"/>
        <v>100</v>
      </c>
      <c r="V36" s="774" t="s">
        <v>17</v>
      </c>
      <c r="W36" s="775">
        <f t="shared" si="14"/>
        <v>100</v>
      </c>
      <c r="X36" s="1813"/>
      <c r="Y36" s="3301"/>
      <c r="Z36" s="1814">
        <f t="shared" si="15"/>
        <v>111</v>
      </c>
      <c r="AA36" s="1811">
        <f t="shared" si="3"/>
        <v>1</v>
      </c>
      <c r="AB36" s="1811">
        <f t="shared" si="4"/>
        <v>1</v>
      </c>
      <c r="AC36" s="1811">
        <f t="shared" si="5"/>
        <v>1</v>
      </c>
    </row>
    <row r="37" spans="1:29" ht="14.4">
      <c r="A37" s="479" t="s">
        <v>2705</v>
      </c>
      <c r="B37" s="2690" t="s">
        <v>2706</v>
      </c>
      <c r="C37" s="1407" t="s">
        <v>1</v>
      </c>
      <c r="D37" s="1408"/>
      <c r="E37" s="1409"/>
      <c r="F37" s="1410"/>
      <c r="G37" s="1411"/>
      <c r="H37" s="1412"/>
      <c r="I37" s="1409"/>
      <c r="J37" s="1412"/>
      <c r="K37" s="619"/>
      <c r="L37" s="1143"/>
      <c r="M37" s="1144"/>
      <c r="N37" s="1131"/>
      <c r="O37" s="1144"/>
      <c r="P37" s="3283" t="str">
        <f>A37</f>
        <v>成交单价</v>
      </c>
      <c r="Q37" s="3283"/>
      <c r="R37" s="3348">
        <f>E37</f>
        <v>0</v>
      </c>
      <c r="S37" s="3348"/>
      <c r="T37" s="3348">
        <f>G37</f>
        <v>0</v>
      </c>
      <c r="U37" s="3348"/>
      <c r="V37" s="3348">
        <f>I37</f>
        <v>0</v>
      </c>
      <c r="W37" s="3348"/>
      <c r="X37" s="759"/>
      <c r="Y37" s="781"/>
      <c r="Z37" s="759"/>
      <c r="AA37" s="759"/>
      <c r="AB37" s="759"/>
      <c r="AC37" s="759"/>
    </row>
    <row r="38" spans="1:29" ht="1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83" t="str">
        <f>A38</f>
        <v>比较价值（元/平方米）</v>
      </c>
      <c r="Q38" s="3283"/>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759"/>
      <c r="Y38" s="759"/>
      <c r="Z38" s="759"/>
      <c r="AA38" s="759"/>
      <c r="AB38" s="759"/>
      <c r="AC38" s="759"/>
    </row>
    <row r="39" spans="1:29" ht="15" thickBot="1">
      <c r="A39" s="492" t="s">
        <v>2708</v>
      </c>
      <c r="B39" s="493"/>
      <c r="C39" s="1417" t="e">
        <f>R39</f>
        <v>#DIV/0!</v>
      </c>
      <c r="D39" s="1417"/>
      <c r="E39" s="1417"/>
      <c r="F39" s="1417"/>
      <c r="G39" s="1417"/>
      <c r="H39" s="1417"/>
      <c r="I39" s="1417"/>
      <c r="J39" s="1417"/>
      <c r="K39" s="621"/>
      <c r="L39" s="1143"/>
      <c r="M39" s="1144"/>
      <c r="N39" s="1144"/>
      <c r="O39" s="1144"/>
      <c r="P39" s="3303" t="str">
        <f>A39</f>
        <v>估价对象XX用房的比较价值（楼面单价，元/平方米）</v>
      </c>
      <c r="Q39" s="3304"/>
      <c r="R39" s="3347" t="e">
        <f>IF(F1="售价",ROUND(AVERAGE(R38:V38),0),ROUND(AVERAGE(R38:V38),1))</f>
        <v>#DIV/0!</v>
      </c>
      <c r="S39" s="3347"/>
      <c r="T39" s="3347"/>
      <c r="U39" s="3347"/>
      <c r="V39" s="3347"/>
      <c r="W39" s="334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2713</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2536</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2573</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2543</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2549</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2692</v>
      </c>
      <c r="B1" s="1619"/>
      <c r="C1" s="1620" t="s">
        <v>2516</v>
      </c>
      <c r="D1" s="1621"/>
      <c r="E1" s="1630"/>
      <c r="F1" s="2582"/>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IF(C2="——",ROUND(C37*D3/10000,0),ROUND(C37*D3/10000,0)-D2)</f>
        <v>#DIV/0!</v>
      </c>
      <c r="C2" s="2584"/>
      <c r="D2" s="1124" t="e">
        <f ca="1">SUMIF(INDIRECT("'"&amp;F2&amp;"'"&amp;"!A:A"),"承租人权益价值",INDIRECT("'"&amp;F2&amp;"'"&amp;"!c:c"))</f>
        <v>#REF!</v>
      </c>
      <c r="E2" s="2585" t="s">
        <v>2317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2630</v>
      </c>
      <c r="B4" s="402"/>
      <c r="C4" s="3284" t="s">
        <v>2631</v>
      </c>
      <c r="D4" s="3285"/>
      <c r="E4" s="3286" t="s">
        <v>2632</v>
      </c>
      <c r="F4" s="3287"/>
      <c r="G4" s="3284" t="s">
        <v>2633</v>
      </c>
      <c r="H4" s="3285"/>
      <c r="I4" s="3284" t="s">
        <v>2634</v>
      </c>
      <c r="J4" s="3285"/>
      <c r="K4" s="610" t="s">
        <v>2635</v>
      </c>
      <c r="L4" s="1130"/>
      <c r="M4" s="1131"/>
      <c r="N4" s="1131"/>
      <c r="O4" s="1131"/>
      <c r="P4" s="3288" t="s">
        <v>2636</v>
      </c>
      <c r="Q4" s="3289"/>
      <c r="R4" s="3271" t="s">
        <v>2632</v>
      </c>
      <c r="S4" s="3272"/>
      <c r="T4" s="3271" t="s">
        <v>2633</v>
      </c>
      <c r="U4" s="3272"/>
      <c r="V4" s="3296" t="s">
        <v>2634</v>
      </c>
      <c r="W4" s="3296"/>
      <c r="X4" s="1813"/>
      <c r="Y4" s="3271" t="s">
        <v>2636</v>
      </c>
      <c r="Z4" s="3272"/>
      <c r="AA4" s="3266" t="s">
        <v>2632</v>
      </c>
      <c r="AB4" s="3267" t="s">
        <v>2633</v>
      </c>
      <c r="AC4" s="3266" t="s">
        <v>2634</v>
      </c>
    </row>
    <row r="5" spans="1:29">
      <c r="A5" s="404"/>
      <c r="B5" s="405"/>
      <c r="C5" s="3357" t="s">
        <v>2528</v>
      </c>
      <c r="D5" s="3358"/>
      <c r="E5" s="3355" t="s">
        <v>2529</v>
      </c>
      <c r="F5" s="3356"/>
      <c r="G5" s="3357" t="s">
        <v>2530</v>
      </c>
      <c r="H5" s="3358"/>
      <c r="I5" s="3357" t="s">
        <v>2531</v>
      </c>
      <c r="J5" s="3358"/>
      <c r="K5" s="610"/>
      <c r="L5" s="1130"/>
      <c r="M5" s="1131"/>
      <c r="N5" s="1131"/>
      <c r="O5" s="1131"/>
      <c r="P5" s="3290"/>
      <c r="Q5" s="3291"/>
      <c r="R5" s="3273"/>
      <c r="S5" s="3274"/>
      <c r="T5" s="3273"/>
      <c r="U5" s="3274"/>
      <c r="V5" s="3296"/>
      <c r="W5" s="3296"/>
      <c r="X5" s="1813"/>
      <c r="Y5" s="3273"/>
      <c r="Z5" s="3274"/>
      <c r="AA5" s="3267"/>
      <c r="AB5" s="3267"/>
      <c r="AC5" s="3267"/>
    </row>
    <row r="6" spans="1:29" ht="15" thickBot="1">
      <c r="A6" s="406"/>
      <c r="B6" s="407"/>
      <c r="C6" s="3359" t="s">
        <v>2532</v>
      </c>
      <c r="D6" s="3360"/>
      <c r="E6" s="3361" t="s">
        <v>2532</v>
      </c>
      <c r="F6" s="3362"/>
      <c r="G6" s="3359" t="s">
        <v>2532</v>
      </c>
      <c r="H6" s="3360"/>
      <c r="I6" s="3359" t="s">
        <v>2532</v>
      </c>
      <c r="J6" s="3360"/>
      <c r="K6" s="610" t="s">
        <v>2533</v>
      </c>
      <c r="L6" s="1130"/>
      <c r="M6" s="1131"/>
      <c r="N6" s="1131"/>
      <c r="O6" s="1131"/>
      <c r="P6" s="3292"/>
      <c r="Q6" s="3293"/>
      <c r="R6" s="3273"/>
      <c r="S6" s="3274"/>
      <c r="T6" s="3294"/>
      <c r="U6" s="3295"/>
      <c r="V6" s="3296"/>
      <c r="W6" s="3296"/>
      <c r="X6" s="1813"/>
      <c r="Y6" s="3294"/>
      <c r="Z6" s="3295"/>
      <c r="AA6" s="3268"/>
      <c r="AB6" s="3268"/>
      <c r="AC6" s="3268"/>
    </row>
    <row r="7" spans="1:29" s="117" customFormat="1" ht="15" thickBot="1">
      <c r="A7" s="408" t="s">
        <v>2534</v>
      </c>
      <c r="B7" s="409"/>
      <c r="C7" s="410">
        <f>'数据-取费表'!B2</f>
        <v>43724</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69" t="s">
        <v>2535</v>
      </c>
      <c r="Q7" s="3297"/>
      <c r="R7" s="770" t="s">
        <v>17</v>
      </c>
      <c r="S7" s="771">
        <f t="shared" ref="S7:S14" si="0">F7</f>
        <v>0</v>
      </c>
      <c r="T7" s="770" t="s">
        <v>17</v>
      </c>
      <c r="U7" s="771">
        <f t="shared" ref="U7:U14" si="1">H7</f>
        <v>0</v>
      </c>
      <c r="V7" s="770" t="s">
        <v>17</v>
      </c>
      <c r="W7" s="771">
        <f t="shared" ref="W7:W14" si="2">J7</f>
        <v>0</v>
      </c>
      <c r="X7" s="772"/>
      <c r="Y7" s="3269" t="s">
        <v>2535</v>
      </c>
      <c r="Z7" s="3270"/>
      <c r="AA7" s="773" t="e">
        <f>D7/F7</f>
        <v>#DIV/0!</v>
      </c>
      <c r="AB7" s="773" t="e">
        <f>D7/H7</f>
        <v>#DIV/0!</v>
      </c>
      <c r="AC7" s="773" t="e">
        <f>D7/J7</f>
        <v>#DIV/0!</v>
      </c>
    </row>
    <row r="8" spans="1:29" s="117" customFormat="1" ht="15" thickBot="1">
      <c r="A8" s="408" t="s">
        <v>2536</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9" t="s">
        <v>2538</v>
      </c>
      <c r="Q8" s="3270"/>
      <c r="R8" s="770" t="s">
        <v>17</v>
      </c>
      <c r="S8" s="771">
        <f t="shared" si="0"/>
        <v>0</v>
      </c>
      <c r="T8" s="770" t="s">
        <v>17</v>
      </c>
      <c r="U8" s="771">
        <f t="shared" si="1"/>
        <v>0</v>
      </c>
      <c r="V8" s="770" t="s">
        <v>17</v>
      </c>
      <c r="W8" s="771">
        <f t="shared" si="2"/>
        <v>0</v>
      </c>
      <c r="X8" s="772"/>
      <c r="Y8" s="3269" t="s">
        <v>2538</v>
      </c>
      <c r="Z8" s="3270"/>
      <c r="AA8" s="773" t="e">
        <f t="shared" ref="AA8:AA34" si="3">D8/F8</f>
        <v>#DIV/0!</v>
      </c>
      <c r="AB8" s="773" t="e">
        <f t="shared" ref="AB8:AB34" si="4">D8/H8</f>
        <v>#DIV/0!</v>
      </c>
      <c r="AC8" s="773" t="e">
        <f t="shared" ref="AC8:AC34" si="5">D8/J8</f>
        <v>#DIV/0!</v>
      </c>
    </row>
    <row r="9" spans="1:29" s="117" customFormat="1" ht="14.4">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83" t="s">
        <v>2541</v>
      </c>
      <c r="Q9" s="1795" t="str">
        <f t="shared" ref="Q9:Q14" si="6">B9</f>
        <v>用途</v>
      </c>
      <c r="R9" s="770" t="s">
        <v>17</v>
      </c>
      <c r="S9" s="771">
        <f t="shared" si="0"/>
        <v>100</v>
      </c>
      <c r="T9" s="770" t="s">
        <v>17</v>
      </c>
      <c r="U9" s="771">
        <f t="shared" si="1"/>
        <v>100</v>
      </c>
      <c r="V9" s="770" t="s">
        <v>17</v>
      </c>
      <c r="W9" s="771">
        <f t="shared" si="2"/>
        <v>100</v>
      </c>
      <c r="X9" s="772"/>
      <c r="Y9" s="3143" t="s">
        <v>2542</v>
      </c>
      <c r="Z9" s="55" t="str">
        <f t="shared" ref="Z9:Z14" si="7">Q9</f>
        <v>用途</v>
      </c>
      <c r="AA9" s="773">
        <f t="shared" si="3"/>
        <v>1</v>
      </c>
      <c r="AB9" s="773">
        <f t="shared" si="4"/>
        <v>1</v>
      </c>
      <c r="AC9" s="773">
        <f t="shared" si="5"/>
        <v>1</v>
      </c>
    </row>
    <row r="10" spans="1:29" s="427" customFormat="1" ht="28.8">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83"/>
      <c r="Q10" s="1795" t="str">
        <f t="shared" si="6"/>
        <v>土地使用年限（年）</v>
      </c>
      <c r="R10" s="770" t="s">
        <v>17</v>
      </c>
      <c r="S10" s="771">
        <f t="shared" si="0"/>
        <v>100</v>
      </c>
      <c r="T10" s="770" t="s">
        <v>17</v>
      </c>
      <c r="U10" s="771">
        <f t="shared" si="1"/>
        <v>100</v>
      </c>
      <c r="V10" s="770" t="s">
        <v>17</v>
      </c>
      <c r="W10" s="771">
        <f t="shared" si="2"/>
        <v>100</v>
      </c>
      <c r="X10" s="772"/>
      <c r="Y10" s="3143"/>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83"/>
      <c r="Q11" s="1795">
        <f t="shared" si="6"/>
        <v>111</v>
      </c>
      <c r="R11" s="770" t="s">
        <v>17</v>
      </c>
      <c r="S11" s="771">
        <f t="shared" si="0"/>
        <v>100</v>
      </c>
      <c r="T11" s="770" t="s">
        <v>17</v>
      </c>
      <c r="U11" s="771">
        <f t="shared" si="1"/>
        <v>100</v>
      </c>
      <c r="V11" s="770" t="s">
        <v>17</v>
      </c>
      <c r="W11" s="771">
        <f t="shared" si="2"/>
        <v>100</v>
      </c>
      <c r="X11" s="772"/>
      <c r="Y11" s="3143"/>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83"/>
      <c r="Q12" s="1795">
        <f t="shared" si="6"/>
        <v>111</v>
      </c>
      <c r="R12" s="770" t="s">
        <v>17</v>
      </c>
      <c r="S12" s="771">
        <f t="shared" si="0"/>
        <v>100</v>
      </c>
      <c r="T12" s="770" t="s">
        <v>17</v>
      </c>
      <c r="U12" s="771">
        <f t="shared" si="1"/>
        <v>100</v>
      </c>
      <c r="V12" s="770" t="s">
        <v>17</v>
      </c>
      <c r="W12" s="771">
        <f t="shared" si="2"/>
        <v>100</v>
      </c>
      <c r="X12" s="772"/>
      <c r="Y12" s="3143"/>
      <c r="Z12" s="55">
        <f t="shared" si="7"/>
        <v>111</v>
      </c>
      <c r="AA12" s="773">
        <f>D12/F12</f>
        <v>1</v>
      </c>
      <c r="AB12" s="773">
        <f>D12/H12</f>
        <v>1</v>
      </c>
      <c r="AC12" s="773">
        <f>D12/J12</f>
        <v>1</v>
      </c>
    </row>
    <row r="13" spans="1:29" ht="15.6" thickBot="1">
      <c r="A13" s="428"/>
      <c r="B13" s="2597">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83"/>
      <c r="Q13" s="1795">
        <f t="shared" si="6"/>
        <v>111</v>
      </c>
      <c r="R13" s="770" t="s">
        <v>17</v>
      </c>
      <c r="S13" s="771">
        <f t="shared" si="0"/>
        <v>100</v>
      </c>
      <c r="T13" s="770" t="s">
        <v>17</v>
      </c>
      <c r="U13" s="771">
        <f t="shared" si="1"/>
        <v>100</v>
      </c>
      <c r="V13" s="770" t="s">
        <v>17</v>
      </c>
      <c r="W13" s="771">
        <f t="shared" si="2"/>
        <v>100</v>
      </c>
      <c r="X13" s="772"/>
      <c r="Y13" s="3143"/>
      <c r="Z13" s="55">
        <f t="shared" si="7"/>
        <v>111</v>
      </c>
      <c r="AA13" s="773">
        <f t="shared" si="3"/>
        <v>1</v>
      </c>
      <c r="AB13" s="773">
        <f t="shared" si="4"/>
        <v>1</v>
      </c>
      <c r="AC13" s="773">
        <f t="shared" si="5"/>
        <v>1</v>
      </c>
    </row>
    <row r="14" spans="1:29" ht="15">
      <c r="A14" s="440" t="s">
        <v>2545</v>
      </c>
      <c r="B14" s="69" t="s">
        <v>2694</v>
      </c>
      <c r="C14" s="2688"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98" t="s">
        <v>2546</v>
      </c>
      <c r="Q14" s="1810" t="str">
        <f t="shared" si="6"/>
        <v>交通便捷度</v>
      </c>
      <c r="R14" s="774" t="s">
        <v>17</v>
      </c>
      <c r="S14" s="775">
        <f t="shared" si="0"/>
        <v>100</v>
      </c>
      <c r="T14" s="774" t="s">
        <v>17</v>
      </c>
      <c r="U14" s="775">
        <f t="shared" si="1"/>
        <v>100</v>
      </c>
      <c r="V14" s="774" t="s">
        <v>17</v>
      </c>
      <c r="W14" s="775">
        <f t="shared" si="2"/>
        <v>100</v>
      </c>
      <c r="X14" s="1813"/>
      <c r="Y14" s="3298"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99"/>
      <c r="Q15" s="1810"/>
      <c r="R15" s="774"/>
      <c r="S15" s="775"/>
      <c r="T15" s="774"/>
      <c r="U15" s="775"/>
      <c r="V15" s="774"/>
      <c r="W15" s="775"/>
      <c r="X15" s="1813"/>
      <c r="Y15" s="3299"/>
      <c r="Z15" s="1814"/>
      <c r="AA15" s="1811">
        <v>1</v>
      </c>
      <c r="AB15" s="1811">
        <v>1</v>
      </c>
      <c r="AC15" s="1811">
        <v>1</v>
      </c>
    </row>
    <row r="16" spans="1:29" ht="15">
      <c r="A16" s="428"/>
      <c r="B16" s="451" t="s">
        <v>2673</v>
      </c>
      <c r="C16" s="2604"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99"/>
      <c r="Q16" s="1810" t="str">
        <f>B16</f>
        <v>公共配套设施</v>
      </c>
      <c r="R16" s="774" t="s">
        <v>17</v>
      </c>
      <c r="S16" s="775">
        <f>F16</f>
        <v>100</v>
      </c>
      <c r="T16" s="774" t="s">
        <v>17</v>
      </c>
      <c r="U16" s="775">
        <f>H16</f>
        <v>100</v>
      </c>
      <c r="V16" s="774" t="s">
        <v>17</v>
      </c>
      <c r="W16" s="775">
        <f>J16</f>
        <v>100</v>
      </c>
      <c r="X16" s="1813"/>
      <c r="Y16" s="3299"/>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99"/>
      <c r="Q17" s="1810"/>
      <c r="R17" s="774"/>
      <c r="S17" s="775"/>
      <c r="T17" s="774"/>
      <c r="U17" s="775"/>
      <c r="V17" s="774"/>
      <c r="W17" s="775"/>
      <c r="X17" s="1813"/>
      <c r="Y17" s="3299"/>
      <c r="Z17" s="1814"/>
      <c r="AA17" s="1811">
        <v>1</v>
      </c>
      <c r="AB17" s="1811">
        <v>1</v>
      </c>
      <c r="AC17" s="1811">
        <v>1</v>
      </c>
    </row>
    <row r="18" spans="1:29" ht="15">
      <c r="A18" s="428"/>
      <c r="B18" s="1384" t="s">
        <v>2674</v>
      </c>
      <c r="C18" s="2604"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99"/>
      <c r="Q18" s="1810" t="str">
        <f>B18</f>
        <v>基础设施水平</v>
      </c>
      <c r="R18" s="774" t="s">
        <v>17</v>
      </c>
      <c r="S18" s="775">
        <f>F18</f>
        <v>100</v>
      </c>
      <c r="T18" s="774" t="s">
        <v>17</v>
      </c>
      <c r="U18" s="775">
        <f>H18</f>
        <v>100</v>
      </c>
      <c r="V18" s="774" t="s">
        <v>17</v>
      </c>
      <c r="W18" s="775">
        <f>J18</f>
        <v>100</v>
      </c>
      <c r="X18" s="1813"/>
      <c r="Y18" s="3299"/>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99"/>
      <c r="Q19" s="1810"/>
      <c r="R19" s="774"/>
      <c r="S19" s="775"/>
      <c r="T19" s="774"/>
      <c r="U19" s="775"/>
      <c r="V19" s="774"/>
      <c r="W19" s="775"/>
      <c r="X19" s="1813"/>
      <c r="Y19" s="3299"/>
      <c r="Z19" s="1814"/>
      <c r="AA19" s="1811">
        <v>1</v>
      </c>
      <c r="AB19" s="1811">
        <v>1</v>
      </c>
      <c r="AC19" s="1811">
        <v>1</v>
      </c>
    </row>
    <row r="20" spans="1:29" ht="15">
      <c r="A20" s="428"/>
      <c r="B20" s="451" t="s">
        <v>2695</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99"/>
      <c r="Q20" s="1810" t="str">
        <f>B20</f>
        <v>自然及人文环境</v>
      </c>
      <c r="R20" s="774" t="s">
        <v>17</v>
      </c>
      <c r="S20" s="775">
        <f>F20</f>
        <v>100</v>
      </c>
      <c r="T20" s="774" t="s">
        <v>17</v>
      </c>
      <c r="U20" s="775">
        <f>H20</f>
        <v>100</v>
      </c>
      <c r="V20" s="774" t="s">
        <v>17</v>
      </c>
      <c r="W20" s="775">
        <f>J20</f>
        <v>100</v>
      </c>
      <c r="X20" s="1813"/>
      <c r="Y20" s="329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99"/>
      <c r="Q21" s="1810"/>
      <c r="R21" s="774"/>
      <c r="S21" s="775"/>
      <c r="T21" s="774"/>
      <c r="U21" s="775"/>
      <c r="V21" s="774"/>
      <c r="W21" s="775"/>
      <c r="X21" s="1813"/>
      <c r="Y21" s="3299"/>
      <c r="Z21" s="1814"/>
      <c r="AA21" s="1811">
        <v>1</v>
      </c>
      <c r="AB21" s="1811">
        <v>1</v>
      </c>
      <c r="AC21" s="1811">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99"/>
      <c r="Q22" s="1810" t="str">
        <f>B22</f>
        <v>楼层</v>
      </c>
      <c r="R22" s="774" t="s">
        <v>17</v>
      </c>
      <c r="S22" s="775">
        <f>F22</f>
        <v>100</v>
      </c>
      <c r="T22" s="774" t="s">
        <v>17</v>
      </c>
      <c r="U22" s="775">
        <f>H22</f>
        <v>100</v>
      </c>
      <c r="V22" s="774" t="s">
        <v>17</v>
      </c>
      <c r="W22" s="775">
        <f>J22</f>
        <v>100</v>
      </c>
      <c r="X22" s="1813"/>
      <c r="Y22" s="3299"/>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99"/>
      <c r="Q23" s="1810">
        <f>B23</f>
        <v>111</v>
      </c>
      <c r="R23" s="774" t="s">
        <v>17</v>
      </c>
      <c r="S23" s="775">
        <f>F23</f>
        <v>100</v>
      </c>
      <c r="T23" s="774" t="s">
        <v>17</v>
      </c>
      <c r="U23" s="775">
        <f>H23</f>
        <v>100</v>
      </c>
      <c r="V23" s="774" t="s">
        <v>17</v>
      </c>
      <c r="W23" s="775">
        <f>J23</f>
        <v>100</v>
      </c>
      <c r="X23" s="1813"/>
      <c r="Y23" s="3299"/>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99"/>
      <c r="Q24" s="1810">
        <f t="shared" ref="Q24:Q34" si="11">B24</f>
        <v>111</v>
      </c>
      <c r="R24" s="774" t="s">
        <v>17</v>
      </c>
      <c r="S24" s="775">
        <f>F24</f>
        <v>100</v>
      </c>
      <c r="T24" s="774" t="s">
        <v>17</v>
      </c>
      <c r="U24" s="775">
        <f>H24</f>
        <v>100</v>
      </c>
      <c r="V24" s="774" t="s">
        <v>17</v>
      </c>
      <c r="W24" s="775">
        <f>J24</f>
        <v>100</v>
      </c>
      <c r="X24" s="1813"/>
      <c r="Y24" s="3299"/>
      <c r="Z24" s="1814">
        <f>Q24</f>
        <v>111</v>
      </c>
      <c r="AA24" s="1811">
        <f t="shared" si="3"/>
        <v>1</v>
      </c>
      <c r="AB24" s="1811">
        <f t="shared" si="4"/>
        <v>1</v>
      </c>
      <c r="AC24" s="1811">
        <f t="shared" si="5"/>
        <v>1</v>
      </c>
    </row>
    <row r="25" spans="1:29" s="117" customFormat="1" ht="15.6" thickBot="1">
      <c r="A25" s="431"/>
      <c r="B25" s="2597">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99"/>
      <c r="Q25" s="1795">
        <f t="shared" si="11"/>
        <v>111</v>
      </c>
      <c r="R25" s="770" t="s">
        <v>17</v>
      </c>
      <c r="S25" s="771">
        <f>F25</f>
        <v>100</v>
      </c>
      <c r="T25" s="770" t="s">
        <v>17</v>
      </c>
      <c r="U25" s="771">
        <f>H25</f>
        <v>100</v>
      </c>
      <c r="V25" s="770" t="s">
        <v>17</v>
      </c>
      <c r="W25" s="771">
        <f>J25</f>
        <v>100</v>
      </c>
      <c r="X25" s="772"/>
      <c r="Y25" s="3299"/>
      <c r="Z25" s="55">
        <f>Q25</f>
        <v>111</v>
      </c>
      <c r="AA25" s="1811">
        <f>D25/F25</f>
        <v>1</v>
      </c>
      <c r="AB25" s="1811">
        <f>D25/H25</f>
        <v>1</v>
      </c>
      <c r="AC25" s="1811">
        <f>D25/J25</f>
        <v>1</v>
      </c>
    </row>
    <row r="26" spans="1:29" ht="30">
      <c r="A26" s="466" t="s">
        <v>2549</v>
      </c>
      <c r="B26" s="71" t="s">
        <v>2699</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300"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01" t="s">
        <v>2551</v>
      </c>
      <c r="Z26" s="1814" t="str">
        <f t="shared" ref="Z26:Z34" si="15">Q26</f>
        <v>公共部分装修</v>
      </c>
      <c r="AA26" s="1811">
        <f t="shared" si="3"/>
        <v>1</v>
      </c>
      <c r="AB26" s="1811">
        <f t="shared" si="4"/>
        <v>1</v>
      </c>
      <c r="AC26" s="1811">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01"/>
      <c r="Q27" s="776" t="str">
        <f t="shared" si="11"/>
        <v>成新率</v>
      </c>
      <c r="R27" s="777" t="s">
        <v>17</v>
      </c>
      <c r="S27" s="778" t="e">
        <f t="shared" si="12"/>
        <v>#N/A</v>
      </c>
      <c r="T27" s="777" t="s">
        <v>17</v>
      </c>
      <c r="U27" s="778" t="e">
        <f t="shared" si="13"/>
        <v>#N/A</v>
      </c>
      <c r="V27" s="777" t="s">
        <v>17</v>
      </c>
      <c r="W27" s="778" t="e">
        <f t="shared" si="14"/>
        <v>#N/A</v>
      </c>
      <c r="X27" s="779"/>
      <c r="Y27" s="3301"/>
      <c r="Z27" s="780" t="str">
        <f t="shared" si="15"/>
        <v>成新率</v>
      </c>
      <c r="AA27" s="1811" t="e">
        <f t="shared" si="3"/>
        <v>#N/A</v>
      </c>
      <c r="AB27" s="1811" t="e">
        <f t="shared" si="4"/>
        <v>#N/A</v>
      </c>
      <c r="AC27" s="1811"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01"/>
      <c r="Q28" s="1810" t="str">
        <f t="shared" si="11"/>
        <v>物业等级</v>
      </c>
      <c r="R28" s="774" t="s">
        <v>17</v>
      </c>
      <c r="S28" s="775">
        <f t="shared" si="12"/>
        <v>100</v>
      </c>
      <c r="T28" s="774" t="s">
        <v>17</v>
      </c>
      <c r="U28" s="775">
        <f t="shared" si="13"/>
        <v>100</v>
      </c>
      <c r="V28" s="774" t="s">
        <v>17</v>
      </c>
      <c r="W28" s="775">
        <f t="shared" si="14"/>
        <v>100</v>
      </c>
      <c r="X28" s="1813"/>
      <c r="Y28" s="3301"/>
      <c r="Z28" s="1814" t="str">
        <f t="shared" si="15"/>
        <v>物业等级</v>
      </c>
      <c r="AA28" s="1811">
        <f t="shared" si="3"/>
        <v>1</v>
      </c>
      <c r="AB28" s="1811">
        <f t="shared" si="4"/>
        <v>1</v>
      </c>
      <c r="AC28" s="1811">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01"/>
      <c r="Q29" s="1810" t="str">
        <f t="shared" si="11"/>
        <v>有无电梯</v>
      </c>
      <c r="R29" s="774" t="s">
        <v>17</v>
      </c>
      <c r="S29" s="775">
        <f t="shared" si="12"/>
        <v>100</v>
      </c>
      <c r="T29" s="774" t="s">
        <v>17</v>
      </c>
      <c r="U29" s="775">
        <f t="shared" si="13"/>
        <v>100</v>
      </c>
      <c r="V29" s="774" t="s">
        <v>17</v>
      </c>
      <c r="W29" s="775">
        <f t="shared" si="14"/>
        <v>100</v>
      </c>
      <c r="X29" s="1813"/>
      <c r="Y29" s="3301"/>
      <c r="Z29" s="1814" t="str">
        <f t="shared" si="15"/>
        <v>有无电梯</v>
      </c>
      <c r="AA29" s="1811">
        <f t="shared" si="3"/>
        <v>1</v>
      </c>
      <c r="AB29" s="1811">
        <f t="shared" si="4"/>
        <v>1</v>
      </c>
      <c r="AC29" s="1811">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01"/>
      <c r="Q30" s="1810" t="str">
        <f t="shared" si="11"/>
        <v>建筑面积</v>
      </c>
      <c r="R30" s="774" t="s">
        <v>17</v>
      </c>
      <c r="S30" s="775" t="e">
        <f t="shared" si="12"/>
        <v>#N/A</v>
      </c>
      <c r="T30" s="774" t="s">
        <v>17</v>
      </c>
      <c r="U30" s="775" t="e">
        <f t="shared" si="13"/>
        <v>#N/A</v>
      </c>
      <c r="V30" s="774" t="s">
        <v>17</v>
      </c>
      <c r="W30" s="775" t="e">
        <f t="shared" si="14"/>
        <v>#N/A</v>
      </c>
      <c r="X30" s="1813"/>
      <c r="Y30" s="3301"/>
      <c r="Z30" s="1814" t="str">
        <f t="shared" si="15"/>
        <v>建筑面积</v>
      </c>
      <c r="AA30" s="1811" t="e">
        <f t="shared" si="3"/>
        <v>#N/A</v>
      </c>
      <c r="AB30" s="1811" t="e">
        <f t="shared" si="4"/>
        <v>#N/A</v>
      </c>
      <c r="AC30" s="1811"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01"/>
      <c r="Q31" s="1795" t="str">
        <f t="shared" si="11"/>
        <v>是否封闭</v>
      </c>
      <c r="R31" s="770" t="s">
        <v>17</v>
      </c>
      <c r="S31" s="771">
        <f t="shared" si="12"/>
        <v>100</v>
      </c>
      <c r="T31" s="770" t="s">
        <v>17</v>
      </c>
      <c r="U31" s="771">
        <f t="shared" si="13"/>
        <v>100</v>
      </c>
      <c r="V31" s="770" t="s">
        <v>17</v>
      </c>
      <c r="W31" s="771">
        <f t="shared" si="14"/>
        <v>100</v>
      </c>
      <c r="X31" s="772"/>
      <c r="Y31" s="3301"/>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01" t="s">
        <v>2551</v>
      </c>
      <c r="Q32" s="1810">
        <f t="shared" si="11"/>
        <v>111</v>
      </c>
      <c r="R32" s="774" t="s">
        <v>17</v>
      </c>
      <c r="S32" s="775">
        <f t="shared" si="12"/>
        <v>100</v>
      </c>
      <c r="T32" s="774" t="s">
        <v>17</v>
      </c>
      <c r="U32" s="775">
        <f t="shared" si="13"/>
        <v>100</v>
      </c>
      <c r="V32" s="774" t="s">
        <v>17</v>
      </c>
      <c r="W32" s="775">
        <f t="shared" si="14"/>
        <v>100</v>
      </c>
      <c r="X32" s="1813"/>
      <c r="Y32" s="3301" t="s">
        <v>2551</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01"/>
      <c r="Q33" s="1810">
        <f t="shared" si="11"/>
        <v>111</v>
      </c>
      <c r="R33" s="774" t="s">
        <v>17</v>
      </c>
      <c r="S33" s="775">
        <f t="shared" si="12"/>
        <v>100</v>
      </c>
      <c r="T33" s="774" t="s">
        <v>17</v>
      </c>
      <c r="U33" s="775">
        <f t="shared" si="13"/>
        <v>100</v>
      </c>
      <c r="V33" s="774" t="s">
        <v>17</v>
      </c>
      <c r="W33" s="775">
        <f t="shared" si="14"/>
        <v>100</v>
      </c>
      <c r="X33" s="1813"/>
      <c r="Y33" s="3301"/>
      <c r="Z33" s="1814">
        <f t="shared" si="15"/>
        <v>111</v>
      </c>
      <c r="AA33" s="1811">
        <f t="shared" si="3"/>
        <v>1</v>
      </c>
      <c r="AB33" s="1811">
        <f t="shared" si="4"/>
        <v>1</v>
      </c>
      <c r="AC33" s="1811">
        <f t="shared" si="5"/>
        <v>1</v>
      </c>
    </row>
    <row r="34" spans="1:29" ht="15.6" thickBot="1">
      <c r="A34" s="478"/>
      <c r="B34" s="2599">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301"/>
      <c r="Q34" s="1810">
        <f t="shared" si="11"/>
        <v>111</v>
      </c>
      <c r="R34" s="774" t="s">
        <v>17</v>
      </c>
      <c r="S34" s="775">
        <f t="shared" si="12"/>
        <v>100</v>
      </c>
      <c r="T34" s="774" t="s">
        <v>17</v>
      </c>
      <c r="U34" s="775">
        <f t="shared" si="13"/>
        <v>100</v>
      </c>
      <c r="V34" s="774" t="s">
        <v>17</v>
      </c>
      <c r="W34" s="775">
        <f t="shared" si="14"/>
        <v>100</v>
      </c>
      <c r="X34" s="1813"/>
      <c r="Y34" s="3301"/>
      <c r="Z34" s="1814">
        <f t="shared" si="15"/>
        <v>111</v>
      </c>
      <c r="AA34" s="1811">
        <f t="shared" si="3"/>
        <v>1</v>
      </c>
      <c r="AB34" s="1811">
        <f t="shared" si="4"/>
        <v>1</v>
      </c>
      <c r="AC34" s="1811">
        <f t="shared" si="5"/>
        <v>1</v>
      </c>
    </row>
    <row r="35" spans="1:29" ht="14.4">
      <c r="A35" s="479" t="s">
        <v>2563</v>
      </c>
      <c r="B35" s="480"/>
      <c r="C35" s="1407" t="s">
        <v>1</v>
      </c>
      <c r="D35" s="1408"/>
      <c r="E35" s="1409"/>
      <c r="F35" s="1410"/>
      <c r="G35" s="1411"/>
      <c r="H35" s="1412"/>
      <c r="I35" s="1409"/>
      <c r="J35" s="1412"/>
      <c r="K35" s="783"/>
      <c r="L35" s="1143"/>
      <c r="M35" s="1144"/>
      <c r="N35" s="1131"/>
      <c r="O35" s="1144"/>
      <c r="P35" s="3283" t="str">
        <f>A35</f>
        <v>成交单价（元/平方米）</v>
      </c>
      <c r="Q35" s="3283"/>
      <c r="R35" s="3348">
        <f>E35</f>
        <v>0</v>
      </c>
      <c r="S35" s="3348"/>
      <c r="T35" s="3348">
        <f>G35</f>
        <v>0</v>
      </c>
      <c r="U35" s="3348"/>
      <c r="V35" s="3348">
        <f>I35</f>
        <v>0</v>
      </c>
      <c r="W35" s="3348"/>
      <c r="X35" s="759"/>
      <c r="Y35" s="781"/>
      <c r="Z35" s="759"/>
      <c r="AA35" s="759"/>
      <c r="AB35" s="759"/>
      <c r="AC35" s="759"/>
    </row>
    <row r="36" spans="1:29" ht="1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283" t="str">
        <f>A36</f>
        <v>比较价值（元/平方米）</v>
      </c>
      <c r="Q36" s="3283"/>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759"/>
      <c r="Y36" s="759"/>
      <c r="Z36" s="759"/>
      <c r="AA36" s="759"/>
      <c r="AB36" s="759"/>
      <c r="AC36" s="759"/>
    </row>
    <row r="37" spans="1:29" ht="15" thickBot="1">
      <c r="A37" s="492" t="s">
        <v>2655</v>
      </c>
      <c r="B37" s="493"/>
      <c r="C37" s="1417" t="e">
        <f>R37</f>
        <v>#DIV/0!</v>
      </c>
      <c r="D37" s="1417"/>
      <c r="E37" s="1417"/>
      <c r="F37" s="1417"/>
      <c r="G37" s="1417"/>
      <c r="H37" s="1417"/>
      <c r="I37" s="1417"/>
      <c r="J37" s="1417"/>
      <c r="K37" s="785"/>
      <c r="L37" s="1143"/>
      <c r="M37" s="1144"/>
      <c r="N37" s="1144"/>
      <c r="O37" s="1144"/>
      <c r="P37" s="3303" t="str">
        <f>A37</f>
        <v>估价对象XX用房的比较价值（楼面单价，元/平方米）</v>
      </c>
      <c r="Q37" s="3304"/>
      <c r="R37" s="3347" t="e">
        <f>IF(F1="售价",ROUND(AVERAGE(R36:V36),0),ROUND(AVERAGE(R36:V36),1))</f>
        <v>#DIV/0!</v>
      </c>
      <c r="S37" s="3347"/>
      <c r="T37" s="3347"/>
      <c r="U37" s="3347"/>
      <c r="V37" s="3347"/>
      <c r="W37" s="334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2659</v>
      </c>
      <c r="B45" s="759"/>
      <c r="C45" s="764"/>
      <c r="D45" s="764"/>
      <c r="E45" s="764"/>
      <c r="F45" s="765"/>
      <c r="G45" s="765"/>
      <c r="H45" s="764"/>
      <c r="I45" s="764"/>
      <c r="J45" s="764"/>
      <c r="K45" s="766"/>
      <c r="L45" s="767"/>
      <c r="M45" s="764"/>
      <c r="N45" s="764"/>
      <c r="O45" s="764"/>
      <c r="P45" s="503"/>
      <c r="Q45" s="504"/>
    </row>
    <row r="46" spans="1:29" s="508" customFormat="1" ht="14.4">
      <c r="A46" s="505" t="s">
        <v>2534</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2570</v>
      </c>
      <c r="B48" s="516"/>
      <c r="C48" s="517"/>
      <c r="D48" s="518"/>
      <c r="E48" s="518"/>
      <c r="F48" s="518"/>
      <c r="G48" s="518"/>
      <c r="H48" s="518"/>
      <c r="I48" s="518"/>
      <c r="J48" s="518"/>
      <c r="K48" s="518"/>
      <c r="L48" s="518"/>
      <c r="M48" s="519"/>
      <c r="N48" s="518"/>
      <c r="O48" s="520"/>
      <c r="P48" s="504"/>
      <c r="Q48" s="504"/>
    </row>
    <row r="49" spans="1:17" s="117" customFormat="1" ht="14.4">
      <c r="A49" s="521" t="s">
        <v>2536</v>
      </c>
      <c r="B49" s="510"/>
      <c r="C49" s="522" t="s">
        <v>2637</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2573</v>
      </c>
      <c r="B51" s="528" t="s">
        <v>2540</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2543</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2714</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2601</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2729</v>
      </c>
      <c r="B1" s="395"/>
      <c r="C1" s="396" t="s">
        <v>2780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2630</v>
      </c>
      <c r="B4" s="402"/>
      <c r="C4" s="3284" t="s">
        <v>2631</v>
      </c>
      <c r="D4" s="3285"/>
      <c r="E4" s="3286" t="s">
        <v>2632</v>
      </c>
      <c r="F4" s="3287"/>
      <c r="G4" s="3284" t="s">
        <v>2633</v>
      </c>
      <c r="H4" s="3285"/>
      <c r="I4" s="3284" t="s">
        <v>2634</v>
      </c>
      <c r="J4" s="3285"/>
      <c r="K4" s="610" t="s">
        <v>2635</v>
      </c>
      <c r="L4" s="1130"/>
      <c r="M4" s="1131"/>
      <c r="N4" s="1131"/>
      <c r="O4" s="1131"/>
      <c r="P4" s="3288" t="s">
        <v>2636</v>
      </c>
      <c r="Q4" s="3289"/>
      <c r="R4" s="3271" t="s">
        <v>2632</v>
      </c>
      <c r="S4" s="3272"/>
      <c r="T4" s="3271" t="s">
        <v>2633</v>
      </c>
      <c r="U4" s="3272"/>
      <c r="V4" s="3296" t="s">
        <v>2634</v>
      </c>
      <c r="W4" s="3296"/>
      <c r="X4" s="1813"/>
      <c r="Y4" s="3271" t="s">
        <v>2636</v>
      </c>
      <c r="Z4" s="3272"/>
      <c r="AA4" s="3266" t="s">
        <v>2632</v>
      </c>
      <c r="AB4" s="3267" t="s">
        <v>2633</v>
      </c>
      <c r="AC4" s="3266" t="s">
        <v>2634</v>
      </c>
    </row>
    <row r="5" spans="1:29">
      <c r="A5" s="404"/>
      <c r="B5" s="405"/>
      <c r="C5" s="3357" t="s">
        <v>2528</v>
      </c>
      <c r="D5" s="3358"/>
      <c r="E5" s="3355" t="s">
        <v>2529</v>
      </c>
      <c r="F5" s="3356"/>
      <c r="G5" s="3357" t="s">
        <v>2530</v>
      </c>
      <c r="H5" s="3358"/>
      <c r="I5" s="3357" t="s">
        <v>2531</v>
      </c>
      <c r="J5" s="3358"/>
      <c r="K5" s="610"/>
      <c r="L5" s="1130"/>
      <c r="M5" s="1131"/>
      <c r="N5" s="1131"/>
      <c r="O5" s="1131"/>
      <c r="P5" s="3290"/>
      <c r="Q5" s="3291"/>
      <c r="R5" s="3273"/>
      <c r="S5" s="3274"/>
      <c r="T5" s="3273"/>
      <c r="U5" s="3274"/>
      <c r="V5" s="3296"/>
      <c r="W5" s="3296"/>
      <c r="X5" s="1813"/>
      <c r="Y5" s="3273"/>
      <c r="Z5" s="3274"/>
      <c r="AA5" s="3267"/>
      <c r="AB5" s="3267"/>
      <c r="AC5" s="3267"/>
    </row>
    <row r="6" spans="1:29" ht="15" thickBot="1">
      <c r="A6" s="406"/>
      <c r="B6" s="407"/>
      <c r="C6" s="3279" t="s">
        <v>2781</v>
      </c>
      <c r="D6" s="3280"/>
      <c r="E6" s="3281" t="s">
        <v>2781</v>
      </c>
      <c r="F6" s="3282"/>
      <c r="G6" s="3279" t="s">
        <v>2781</v>
      </c>
      <c r="H6" s="3280"/>
      <c r="I6" s="3279" t="s">
        <v>2781</v>
      </c>
      <c r="J6" s="3280"/>
      <c r="K6" s="610" t="s">
        <v>2533</v>
      </c>
      <c r="L6" s="1130"/>
      <c r="M6" s="1131"/>
      <c r="N6" s="1131"/>
      <c r="O6" s="1131"/>
      <c r="P6" s="3292"/>
      <c r="Q6" s="3293"/>
      <c r="R6" s="3273"/>
      <c r="S6" s="3274"/>
      <c r="T6" s="3294"/>
      <c r="U6" s="3295"/>
      <c r="V6" s="3296"/>
      <c r="W6" s="3296"/>
      <c r="X6" s="1813"/>
      <c r="Y6" s="3294"/>
      <c r="Z6" s="3295"/>
      <c r="AA6" s="3268"/>
      <c r="AB6" s="3268"/>
      <c r="AC6" s="3268"/>
    </row>
    <row r="7" spans="1:29" s="117" customFormat="1" ht="15" thickBot="1">
      <c r="A7" s="408" t="s">
        <v>2534</v>
      </c>
      <c r="B7" s="409"/>
      <c r="C7" s="410">
        <f>'数据-取费表'!B2</f>
        <v>43724</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69" t="s">
        <v>2535</v>
      </c>
      <c r="Q7" s="3297"/>
      <c r="R7" s="770" t="s">
        <v>17</v>
      </c>
      <c r="S7" s="771">
        <f t="shared" ref="S7:S15" si="0">F7</f>
        <v>0</v>
      </c>
      <c r="T7" s="770" t="s">
        <v>17</v>
      </c>
      <c r="U7" s="771">
        <f t="shared" ref="U7:U15" si="1">H7</f>
        <v>0</v>
      </c>
      <c r="V7" s="770" t="s">
        <v>17</v>
      </c>
      <c r="W7" s="771">
        <f t="shared" ref="W7:W15" si="2">J7</f>
        <v>0</v>
      </c>
      <c r="X7" s="772"/>
      <c r="Y7" s="3269" t="s">
        <v>2535</v>
      </c>
      <c r="Z7" s="3270"/>
      <c r="AA7" s="773" t="e">
        <f>D7/F7</f>
        <v>#DIV/0!</v>
      </c>
      <c r="AB7" s="773" t="e">
        <f>D7/H7</f>
        <v>#DIV/0!</v>
      </c>
      <c r="AC7" s="773" t="e">
        <f>D7/J7</f>
        <v>#DIV/0!</v>
      </c>
    </row>
    <row r="8" spans="1:29" s="117" customFormat="1" ht="1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9" t="s">
        <v>2538</v>
      </c>
      <c r="Q8" s="3270"/>
      <c r="R8" s="770" t="s">
        <v>17</v>
      </c>
      <c r="S8" s="771">
        <f t="shared" si="0"/>
        <v>0</v>
      </c>
      <c r="T8" s="770" t="s">
        <v>17</v>
      </c>
      <c r="U8" s="771">
        <f t="shared" si="1"/>
        <v>0</v>
      </c>
      <c r="V8" s="770" t="s">
        <v>17</v>
      </c>
      <c r="W8" s="771">
        <f t="shared" si="2"/>
        <v>0</v>
      </c>
      <c r="X8" s="772"/>
      <c r="Y8" s="3269" t="s">
        <v>2538</v>
      </c>
      <c r="Z8" s="3270"/>
      <c r="AA8" s="773" t="e">
        <f t="shared" ref="AA8:AA40" si="3">D8/F8</f>
        <v>#DIV/0!</v>
      </c>
      <c r="AB8" s="773" t="e">
        <f t="shared" ref="AB8:AB40" si="4">D8/H8</f>
        <v>#DIV/0!</v>
      </c>
      <c r="AC8" s="773" t="e">
        <f t="shared" ref="AC8:AC40" si="5">D8/J8</f>
        <v>#DIV/0!</v>
      </c>
    </row>
    <row r="9" spans="1:29" s="117" customFormat="1" ht="14.4">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83" t="s">
        <v>2541</v>
      </c>
      <c r="Q9" s="1795" t="str">
        <f t="shared" ref="Q9:Q15" si="6">B9</f>
        <v>用途</v>
      </c>
      <c r="R9" s="770" t="s">
        <v>17</v>
      </c>
      <c r="S9" s="771">
        <f t="shared" si="0"/>
        <v>100</v>
      </c>
      <c r="T9" s="770" t="s">
        <v>17</v>
      </c>
      <c r="U9" s="771">
        <f t="shared" si="1"/>
        <v>100</v>
      </c>
      <c r="V9" s="770" t="s">
        <v>17</v>
      </c>
      <c r="W9" s="771">
        <f t="shared" si="2"/>
        <v>100</v>
      </c>
      <c r="X9" s="772"/>
      <c r="Y9" s="3143" t="s">
        <v>2542</v>
      </c>
      <c r="Z9" s="55" t="str">
        <f t="shared" ref="Z9:Z15" si="7">Q9</f>
        <v>用途</v>
      </c>
      <c r="AA9" s="773">
        <f t="shared" si="3"/>
        <v>1</v>
      </c>
      <c r="AB9" s="773">
        <f t="shared" si="4"/>
        <v>1</v>
      </c>
      <c r="AC9" s="773">
        <f t="shared" si="5"/>
        <v>1</v>
      </c>
    </row>
    <row r="10" spans="1:29" s="427" customFormat="1" ht="28.8">
      <c r="A10" s="421"/>
      <c r="B10" s="422" t="s">
        <v>2543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83"/>
      <c r="Q10" s="1795" t="str">
        <f t="shared" si="6"/>
        <v>土地使用年限（年）</v>
      </c>
      <c r="R10" s="770" t="s">
        <v>17</v>
      </c>
      <c r="S10" s="771">
        <f t="shared" si="0"/>
        <v>100</v>
      </c>
      <c r="T10" s="770" t="s">
        <v>17</v>
      </c>
      <c r="U10" s="771">
        <f t="shared" si="1"/>
        <v>100</v>
      </c>
      <c r="V10" s="770" t="s">
        <v>17</v>
      </c>
      <c r="W10" s="771">
        <f t="shared" si="2"/>
        <v>100</v>
      </c>
      <c r="X10" s="772"/>
      <c r="Y10" s="3143"/>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83"/>
      <c r="Q11" s="1795" t="str">
        <f t="shared" si="6"/>
        <v>容积率</v>
      </c>
      <c r="R11" s="770" t="s">
        <v>17</v>
      </c>
      <c r="S11" s="771" t="e">
        <f t="shared" si="0"/>
        <v>#N/A</v>
      </c>
      <c r="T11" s="770" t="s">
        <v>17</v>
      </c>
      <c r="U11" s="771" t="e">
        <f t="shared" si="1"/>
        <v>#N/A</v>
      </c>
      <c r="V11" s="770" t="s">
        <v>17</v>
      </c>
      <c r="W11" s="771" t="e">
        <f t="shared" si="2"/>
        <v>#N/A</v>
      </c>
      <c r="X11" s="772"/>
      <c r="Y11" s="3143"/>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83"/>
      <c r="Q12" s="1795">
        <f t="shared" si="6"/>
        <v>111</v>
      </c>
      <c r="R12" s="770" t="s">
        <v>17</v>
      </c>
      <c r="S12" s="771">
        <f t="shared" si="0"/>
        <v>100</v>
      </c>
      <c r="T12" s="770" t="s">
        <v>17</v>
      </c>
      <c r="U12" s="771">
        <f t="shared" si="1"/>
        <v>100</v>
      </c>
      <c r="V12" s="770" t="s">
        <v>17</v>
      </c>
      <c r="W12" s="771">
        <f t="shared" si="2"/>
        <v>100</v>
      </c>
      <c r="X12" s="772"/>
      <c r="Y12" s="3143"/>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83"/>
      <c r="Q13" s="1795">
        <f t="shared" si="6"/>
        <v>111</v>
      </c>
      <c r="R13" s="770" t="s">
        <v>17</v>
      </c>
      <c r="S13" s="771">
        <f t="shared" si="0"/>
        <v>100</v>
      </c>
      <c r="T13" s="770" t="s">
        <v>17</v>
      </c>
      <c r="U13" s="771">
        <f t="shared" si="1"/>
        <v>100</v>
      </c>
      <c r="V13" s="770" t="s">
        <v>17</v>
      </c>
      <c r="W13" s="771">
        <f t="shared" si="2"/>
        <v>100</v>
      </c>
      <c r="X13" s="772"/>
      <c r="Y13" s="3143"/>
      <c r="Z13" s="55">
        <f t="shared" si="7"/>
        <v>111</v>
      </c>
      <c r="AA13" s="773">
        <f t="shared" si="3"/>
        <v>1</v>
      </c>
      <c r="AB13" s="773">
        <f t="shared" si="4"/>
        <v>1</v>
      </c>
      <c r="AC13" s="773">
        <f t="shared" si="5"/>
        <v>1</v>
      </c>
    </row>
    <row r="14" spans="1:29" ht="15.6"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83"/>
      <c r="Q14" s="1795">
        <f t="shared" si="6"/>
        <v>111</v>
      </c>
      <c r="R14" s="770" t="s">
        <v>17</v>
      </c>
      <c r="S14" s="771">
        <f t="shared" si="0"/>
        <v>100</v>
      </c>
      <c r="T14" s="770" t="s">
        <v>17</v>
      </c>
      <c r="U14" s="771">
        <f t="shared" si="1"/>
        <v>100</v>
      </c>
      <c r="V14" s="770" t="s">
        <v>17</v>
      </c>
      <c r="W14" s="771">
        <f t="shared" si="2"/>
        <v>100</v>
      </c>
      <c r="X14" s="772"/>
      <c r="Y14" s="3143"/>
      <c r="Z14" s="55">
        <f t="shared" si="7"/>
        <v>111</v>
      </c>
      <c r="AA14" s="773">
        <f t="shared" si="3"/>
        <v>1</v>
      </c>
      <c r="AB14" s="773">
        <f t="shared" si="4"/>
        <v>1</v>
      </c>
      <c r="AC14" s="773">
        <f t="shared" si="5"/>
        <v>1</v>
      </c>
    </row>
    <row r="15" spans="1:29" ht="15">
      <c r="A15" s="440" t="s">
        <v>2545</v>
      </c>
      <c r="B15" s="629" t="s">
        <v>2782</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98" t="s">
        <v>2546</v>
      </c>
      <c r="Q15" s="1810" t="str">
        <f t="shared" si="6"/>
        <v>产业集聚程度</v>
      </c>
      <c r="R15" s="774" t="s">
        <v>17</v>
      </c>
      <c r="S15" s="775">
        <f t="shared" si="0"/>
        <v>100</v>
      </c>
      <c r="T15" s="774" t="s">
        <v>17</v>
      </c>
      <c r="U15" s="775">
        <f t="shared" si="1"/>
        <v>100</v>
      </c>
      <c r="V15" s="774" t="s">
        <v>17</v>
      </c>
      <c r="W15" s="775">
        <f t="shared" si="2"/>
        <v>100</v>
      </c>
      <c r="X15" s="1813"/>
      <c r="Y15" s="3298" t="s">
        <v>2546</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99"/>
      <c r="Q16" s="1810"/>
      <c r="R16" s="774"/>
      <c r="S16" s="775"/>
      <c r="T16" s="774"/>
      <c r="U16" s="775"/>
      <c r="V16" s="774"/>
      <c r="W16" s="775"/>
      <c r="X16" s="1813"/>
      <c r="Y16" s="3299"/>
      <c r="Z16" s="1814"/>
      <c r="AA16" s="1811">
        <v>1</v>
      </c>
      <c r="AB16" s="1811">
        <v>1</v>
      </c>
      <c r="AC16" s="1811">
        <v>1</v>
      </c>
    </row>
    <row r="17" spans="1:29" ht="15">
      <c r="A17" s="428"/>
      <c r="B17" s="631" t="s">
        <v>2694</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99"/>
      <c r="Q17" s="1810" t="str">
        <f>B17</f>
        <v>交通便捷度</v>
      </c>
      <c r="R17" s="774" t="s">
        <v>17</v>
      </c>
      <c r="S17" s="775">
        <f>F17</f>
        <v>100</v>
      </c>
      <c r="T17" s="774" t="s">
        <v>17</v>
      </c>
      <c r="U17" s="775">
        <f>H17</f>
        <v>100</v>
      </c>
      <c r="V17" s="774" t="s">
        <v>17</v>
      </c>
      <c r="W17" s="775">
        <f>J17</f>
        <v>100</v>
      </c>
      <c r="X17" s="1813"/>
      <c r="Y17" s="3299"/>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99"/>
      <c r="Q18" s="1810"/>
      <c r="R18" s="774"/>
      <c r="S18" s="775"/>
      <c r="T18" s="774"/>
      <c r="U18" s="775"/>
      <c r="V18" s="774"/>
      <c r="W18" s="775"/>
      <c r="X18" s="1813"/>
      <c r="Y18" s="3299"/>
      <c r="Z18" s="1814"/>
      <c r="AA18" s="1811">
        <v>1</v>
      </c>
      <c r="AB18" s="1811">
        <v>1</v>
      </c>
      <c r="AC18" s="1811">
        <v>1</v>
      </c>
    </row>
    <row r="19" spans="1:29" ht="28.8">
      <c r="A19" s="428"/>
      <c r="B19" s="631" t="s">
        <v>2733</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99"/>
      <c r="Q19" s="1810" t="str">
        <f t="shared" ref="Q19:Q33" si="8">B19</f>
        <v>区域土地利用方向</v>
      </c>
      <c r="R19" s="774" t="s">
        <v>17</v>
      </c>
      <c r="S19" s="775">
        <f>F19</f>
        <v>100</v>
      </c>
      <c r="T19" s="774" t="s">
        <v>17</v>
      </c>
      <c r="U19" s="775">
        <f>H19</f>
        <v>100</v>
      </c>
      <c r="V19" s="774" t="s">
        <v>17</v>
      </c>
      <c r="W19" s="775">
        <f>J19</f>
        <v>100</v>
      </c>
      <c r="X19" s="1813"/>
      <c r="Y19" s="3299"/>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99"/>
      <c r="Q20" s="1810"/>
      <c r="R20" s="774"/>
      <c r="S20" s="775"/>
      <c r="T20" s="774"/>
      <c r="U20" s="775"/>
      <c r="V20" s="774"/>
      <c r="W20" s="775"/>
      <c r="X20" s="1813"/>
      <c r="Y20" s="3299"/>
      <c r="Z20" s="1814"/>
      <c r="AA20" s="1811"/>
      <c r="AB20" s="1811"/>
      <c r="AC20" s="1811"/>
    </row>
    <row r="21" spans="1:29" ht="15">
      <c r="A21" s="404"/>
      <c r="B21" s="631" t="s">
        <v>2783</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99"/>
      <c r="Q21" s="1810" t="str">
        <f t="shared" si="8"/>
        <v>环境状况</v>
      </c>
      <c r="R21" s="774" t="s">
        <v>17</v>
      </c>
      <c r="S21" s="775">
        <f>F21</f>
        <v>100</v>
      </c>
      <c r="T21" s="774" t="s">
        <v>17</v>
      </c>
      <c r="U21" s="775">
        <f>H21</f>
        <v>100</v>
      </c>
      <c r="V21" s="774" t="s">
        <v>17</v>
      </c>
      <c r="W21" s="775">
        <f>J21</f>
        <v>100</v>
      </c>
      <c r="X21" s="1813"/>
      <c r="Y21" s="3299"/>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99"/>
      <c r="Q22" s="1810"/>
      <c r="R22" s="774"/>
      <c r="S22" s="775"/>
      <c r="T22" s="774"/>
      <c r="U22" s="775"/>
      <c r="V22" s="774"/>
      <c r="W22" s="775"/>
      <c r="X22" s="1813"/>
      <c r="Y22" s="3299"/>
      <c r="Z22" s="1814"/>
      <c r="AA22" s="1811">
        <v>1</v>
      </c>
      <c r="AB22" s="1811">
        <v>1</v>
      </c>
      <c r="AC22" s="1811">
        <v>1</v>
      </c>
    </row>
    <row r="23" spans="1:29" s="117" customFormat="1" ht="15">
      <c r="A23" s="649"/>
      <c r="B23" s="633" t="s">
        <v>2639</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99"/>
      <c r="Q23" s="1795" t="str">
        <f t="shared" si="8"/>
        <v>公共配套设施</v>
      </c>
      <c r="R23" s="770" t="s">
        <v>17</v>
      </c>
      <c r="S23" s="771">
        <f>F23</f>
        <v>100</v>
      </c>
      <c r="T23" s="770" t="s">
        <v>17</v>
      </c>
      <c r="U23" s="771">
        <f>H23</f>
        <v>100</v>
      </c>
      <c r="V23" s="770" t="s">
        <v>17</v>
      </c>
      <c r="W23" s="771">
        <f>J23</f>
        <v>100</v>
      </c>
      <c r="X23" s="772"/>
      <c r="Y23" s="3299"/>
      <c r="Z23" s="55" t="str">
        <f>Q23</f>
        <v>公共配套设施</v>
      </c>
      <c r="AA23" s="1811">
        <f>D23/F23</f>
        <v>1</v>
      </c>
      <c r="AB23" s="1811">
        <f>D23/H23</f>
        <v>1</v>
      </c>
      <c r="AC23" s="1811">
        <f>D23/J23</f>
        <v>1</v>
      </c>
    </row>
    <row r="24" spans="1:29" s="117" customFormat="1" ht="15">
      <c r="A24" s="649"/>
      <c r="B24" s="632"/>
      <c r="C24" s="2695"/>
      <c r="D24" s="448"/>
      <c r="E24" s="2608"/>
      <c r="F24" s="448"/>
      <c r="G24" s="2608"/>
      <c r="H24" s="448"/>
      <c r="I24" s="447"/>
      <c r="J24" s="448"/>
      <c r="K24" s="672"/>
      <c r="L24" s="1132"/>
      <c r="M24" s="1133"/>
      <c r="N24" s="1133"/>
      <c r="O24" s="1134"/>
      <c r="P24" s="3299"/>
      <c r="Q24" s="1795"/>
      <c r="R24" s="770"/>
      <c r="S24" s="771"/>
      <c r="T24" s="770"/>
      <c r="U24" s="771"/>
      <c r="V24" s="770"/>
      <c r="W24" s="771"/>
      <c r="X24" s="772"/>
      <c r="Y24" s="3299"/>
      <c r="Z24" s="55"/>
      <c r="AA24" s="773">
        <v>1</v>
      </c>
      <c r="AB24" s="773">
        <v>1</v>
      </c>
      <c r="AC24" s="773">
        <v>1</v>
      </c>
    </row>
    <row r="25" spans="1:29" s="117" customFormat="1" ht="15">
      <c r="A25" s="649"/>
      <c r="B25" s="633" t="s">
        <v>2640</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99"/>
      <c r="Q25" s="1795" t="str">
        <f t="shared" ref="Q25" si="9">B25</f>
        <v>基础设施水平</v>
      </c>
      <c r="R25" s="770" t="s">
        <v>17</v>
      </c>
      <c r="S25" s="771">
        <f>F25</f>
        <v>100</v>
      </c>
      <c r="T25" s="770" t="s">
        <v>17</v>
      </c>
      <c r="U25" s="771">
        <f>H25</f>
        <v>100</v>
      </c>
      <c r="V25" s="770" t="s">
        <v>17</v>
      </c>
      <c r="W25" s="771">
        <f>J25</f>
        <v>100</v>
      </c>
      <c r="X25" s="772"/>
      <c r="Y25" s="3299"/>
      <c r="Z25" s="55" t="str">
        <f>Q25</f>
        <v>基础设施水平</v>
      </c>
      <c r="AA25" s="1811">
        <f>D25/F25</f>
        <v>1</v>
      </c>
      <c r="AB25" s="1811">
        <f>D25/H25</f>
        <v>1</v>
      </c>
      <c r="AC25" s="1811">
        <f>D25/J25</f>
        <v>1</v>
      </c>
    </row>
    <row r="26" spans="1:29" s="117" customFormat="1" ht="15">
      <c r="A26" s="649"/>
      <c r="B26" s="632"/>
      <c r="C26" s="2695"/>
      <c r="D26" s="448"/>
      <c r="E26" s="2696"/>
      <c r="F26" s="448"/>
      <c r="G26" s="2696"/>
      <c r="H26" s="448"/>
      <c r="I26" s="2696"/>
      <c r="J26" s="448"/>
      <c r="K26" s="672"/>
      <c r="L26" s="1132"/>
      <c r="M26" s="1133"/>
      <c r="N26" s="1133"/>
      <c r="O26" s="1134"/>
      <c r="P26" s="3299"/>
      <c r="Q26" s="1795"/>
      <c r="R26" s="770"/>
      <c r="S26" s="771"/>
      <c r="T26" s="770"/>
      <c r="U26" s="771"/>
      <c r="V26" s="770"/>
      <c r="W26" s="771"/>
      <c r="X26" s="772"/>
      <c r="Y26" s="3299"/>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9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99"/>
      <c r="Z27" s="1814" t="str">
        <f t="shared" ref="Z27:Z40" si="13">Q27</f>
        <v>临街状况</v>
      </c>
      <c r="AA27" s="1811">
        <f t="shared" si="3"/>
        <v>1</v>
      </c>
      <c r="AB27" s="1811">
        <f t="shared" si="4"/>
        <v>1</v>
      </c>
      <c r="AC27" s="1811">
        <f t="shared" si="5"/>
        <v>1</v>
      </c>
    </row>
    <row r="28" spans="1:29" ht="28.8">
      <c r="A28" s="428"/>
      <c r="B28" s="633" t="s">
        <v>2676</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99"/>
      <c r="Q28" s="1810" t="str">
        <f t="shared" si="8"/>
        <v>毗邻道路的类型与等级</v>
      </c>
      <c r="R28" s="774" t="s">
        <v>17</v>
      </c>
      <c r="S28" s="775">
        <f t="shared" si="10"/>
        <v>100</v>
      </c>
      <c r="T28" s="774" t="s">
        <v>17</v>
      </c>
      <c r="U28" s="775">
        <f t="shared" si="11"/>
        <v>100</v>
      </c>
      <c r="V28" s="774" t="s">
        <v>17</v>
      </c>
      <c r="W28" s="775">
        <f t="shared" si="12"/>
        <v>100</v>
      </c>
      <c r="X28" s="1813"/>
      <c r="Y28" s="3299"/>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99"/>
      <c r="Q29" s="1810"/>
      <c r="R29" s="774"/>
      <c r="S29" s="775"/>
      <c r="T29" s="774"/>
      <c r="U29" s="775"/>
      <c r="V29" s="774"/>
      <c r="W29" s="775"/>
      <c r="X29" s="1813"/>
      <c r="Y29" s="3299"/>
      <c r="Z29" s="1814"/>
      <c r="AA29" s="1811">
        <v>1</v>
      </c>
      <c r="AB29" s="1811">
        <v>1</v>
      </c>
      <c r="AC29" s="1811">
        <v>1</v>
      </c>
    </row>
    <row r="30" spans="1:29" ht="15">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99"/>
      <c r="Q30" s="1810" t="str">
        <f t="shared" si="8"/>
        <v>土地级别</v>
      </c>
      <c r="R30" s="774" t="s">
        <v>17</v>
      </c>
      <c r="S30" s="775">
        <f t="shared" si="10"/>
        <v>100</v>
      </c>
      <c r="T30" s="774" t="s">
        <v>17</v>
      </c>
      <c r="U30" s="775">
        <f t="shared" si="11"/>
        <v>100</v>
      </c>
      <c r="V30" s="774" t="s">
        <v>17</v>
      </c>
      <c r="W30" s="775">
        <f t="shared" si="12"/>
        <v>100</v>
      </c>
      <c r="X30" s="1813"/>
      <c r="Y30" s="3299"/>
      <c r="Z30" s="1814" t="str">
        <f t="shared" si="13"/>
        <v>土地级别</v>
      </c>
      <c r="AA30" s="1811">
        <f t="shared" si="3"/>
        <v>1</v>
      </c>
      <c r="AB30" s="1811">
        <f t="shared" si="4"/>
        <v>1</v>
      </c>
      <c r="AC30" s="1811">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99"/>
      <c r="Q31" s="1810">
        <f t="shared" si="8"/>
        <v>111</v>
      </c>
      <c r="R31" s="774" t="s">
        <v>17</v>
      </c>
      <c r="S31" s="775">
        <f t="shared" si="10"/>
        <v>100</v>
      </c>
      <c r="T31" s="774" t="s">
        <v>17</v>
      </c>
      <c r="U31" s="775">
        <f t="shared" si="11"/>
        <v>100</v>
      </c>
      <c r="V31" s="774" t="s">
        <v>17</v>
      </c>
      <c r="W31" s="775">
        <f t="shared" si="12"/>
        <v>100</v>
      </c>
      <c r="X31" s="1813"/>
      <c r="Y31" s="3299"/>
      <c r="Z31" s="1814">
        <f t="shared" si="13"/>
        <v>111</v>
      </c>
      <c r="AA31" s="1811">
        <f t="shared" si="3"/>
        <v>1</v>
      </c>
      <c r="AB31" s="1811">
        <f t="shared" si="4"/>
        <v>1</v>
      </c>
      <c r="AC31" s="1811">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0" t="s">
        <v>2551</v>
      </c>
      <c r="Q32" s="1810">
        <f t="shared" si="8"/>
        <v>111</v>
      </c>
      <c r="R32" s="774" t="s">
        <v>17</v>
      </c>
      <c r="S32" s="775">
        <f t="shared" si="10"/>
        <v>100</v>
      </c>
      <c r="T32" s="774" t="s">
        <v>17</v>
      </c>
      <c r="U32" s="775">
        <f t="shared" si="11"/>
        <v>100</v>
      </c>
      <c r="V32" s="774" t="s">
        <v>17</v>
      </c>
      <c r="W32" s="775">
        <f t="shared" si="12"/>
        <v>100</v>
      </c>
      <c r="X32" s="1813"/>
      <c r="Y32" s="3301" t="s">
        <v>2551</v>
      </c>
      <c r="Z32" s="1814">
        <f t="shared" si="13"/>
        <v>111</v>
      </c>
      <c r="AA32" s="1811">
        <f t="shared" si="3"/>
        <v>1</v>
      </c>
      <c r="AB32" s="1811">
        <f t="shared" si="4"/>
        <v>1</v>
      </c>
      <c r="AC32" s="1811">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01"/>
      <c r="Q33" s="1810">
        <f t="shared" si="8"/>
        <v>111</v>
      </c>
      <c r="R33" s="777" t="s">
        <v>17</v>
      </c>
      <c r="S33" s="778">
        <f t="shared" si="10"/>
        <v>100</v>
      </c>
      <c r="T33" s="777" t="s">
        <v>17</v>
      </c>
      <c r="U33" s="778">
        <f t="shared" si="11"/>
        <v>100</v>
      </c>
      <c r="V33" s="777" t="s">
        <v>17</v>
      </c>
      <c r="W33" s="778">
        <f t="shared" si="12"/>
        <v>100</v>
      </c>
      <c r="X33" s="779"/>
      <c r="Y33" s="3301"/>
      <c r="Z33" s="780">
        <f t="shared" si="13"/>
        <v>111</v>
      </c>
      <c r="AA33" s="1811">
        <f t="shared" si="3"/>
        <v>1</v>
      </c>
      <c r="AB33" s="1811">
        <f t="shared" si="4"/>
        <v>1</v>
      </c>
      <c r="AC33" s="1811">
        <f t="shared" si="5"/>
        <v>1</v>
      </c>
    </row>
    <row r="34" spans="1:29" ht="15">
      <c r="A34" s="440" t="s">
        <v>2549</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01"/>
      <c r="Q34" s="1810" t="str">
        <f>B34</f>
        <v>宗地面积</v>
      </c>
      <c r="R34" s="774" t="s">
        <v>17</v>
      </c>
      <c r="S34" s="775" t="e">
        <f t="shared" si="10"/>
        <v>#N/A</v>
      </c>
      <c r="T34" s="774" t="s">
        <v>17</v>
      </c>
      <c r="U34" s="775" t="e">
        <f t="shared" si="11"/>
        <v>#N/A</v>
      </c>
      <c r="V34" s="774" t="s">
        <v>17</v>
      </c>
      <c r="W34" s="775" t="e">
        <f t="shared" si="12"/>
        <v>#N/A</v>
      </c>
      <c r="X34" s="1813"/>
      <c r="Y34" s="3301"/>
      <c r="Z34" s="1814" t="str">
        <f t="shared" si="13"/>
        <v>宗地面积</v>
      </c>
      <c r="AA34" s="1811" t="e">
        <f t="shared" si="3"/>
        <v>#N/A</v>
      </c>
      <c r="AB34" s="1811" t="e">
        <f t="shared" si="4"/>
        <v>#N/A</v>
      </c>
      <c r="AC34" s="1811" t="e">
        <f t="shared" si="5"/>
        <v>#N/A</v>
      </c>
    </row>
    <row r="35" spans="1:29" ht="15">
      <c r="A35" s="472"/>
      <c r="B35" s="422" t="s">
        <v>2737</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301"/>
      <c r="Q35" s="1810" t="str">
        <f t="shared" ref="Q35:Q40" si="14">B35</f>
        <v>宗地形状</v>
      </c>
      <c r="R35" s="774" t="s">
        <v>17</v>
      </c>
      <c r="S35" s="775">
        <f t="shared" si="10"/>
        <v>100</v>
      </c>
      <c r="T35" s="774" t="s">
        <v>17</v>
      </c>
      <c r="U35" s="775">
        <f t="shared" si="11"/>
        <v>100</v>
      </c>
      <c r="V35" s="774" t="s">
        <v>17</v>
      </c>
      <c r="W35" s="775">
        <f t="shared" si="12"/>
        <v>100</v>
      </c>
      <c r="X35" s="1813"/>
      <c r="Y35" s="3301"/>
      <c r="Z35" s="1814" t="str">
        <f t="shared" si="13"/>
        <v>宗地形状</v>
      </c>
      <c r="AA35" s="1811">
        <f t="shared" si="3"/>
        <v>1</v>
      </c>
      <c r="AB35" s="1811">
        <f t="shared" si="4"/>
        <v>1</v>
      </c>
      <c r="AC35" s="1811">
        <f t="shared" si="5"/>
        <v>1</v>
      </c>
    </row>
    <row r="36" spans="1:29" s="117" customFormat="1" ht="15">
      <c r="A36" s="473"/>
      <c r="B36" s="422" t="s">
        <v>2739</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301"/>
      <c r="Q36" s="1810" t="str">
        <f t="shared" si="14"/>
        <v>宗地开发程度</v>
      </c>
      <c r="R36" s="770" t="s">
        <v>17</v>
      </c>
      <c r="S36" s="771">
        <f t="shared" si="10"/>
        <v>100</v>
      </c>
      <c r="T36" s="770" t="s">
        <v>17</v>
      </c>
      <c r="U36" s="771">
        <f t="shared" si="11"/>
        <v>100</v>
      </c>
      <c r="V36" s="770" t="s">
        <v>17</v>
      </c>
      <c r="W36" s="771">
        <f t="shared" si="12"/>
        <v>100</v>
      </c>
      <c r="X36" s="772"/>
      <c r="Y36" s="3301"/>
      <c r="Z36" s="55" t="str">
        <f t="shared" si="13"/>
        <v>宗地开发程度</v>
      </c>
      <c r="AA36" s="773">
        <f t="shared" si="3"/>
        <v>1</v>
      </c>
      <c r="AB36" s="773">
        <f t="shared" si="4"/>
        <v>1</v>
      </c>
      <c r="AC36" s="773">
        <f t="shared" si="5"/>
        <v>1</v>
      </c>
    </row>
    <row r="37" spans="1:29" ht="15">
      <c r="A37" s="472"/>
      <c r="B37" s="422" t="s">
        <v>2740</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301" t="s">
        <v>2551</v>
      </c>
      <c r="Q37" s="1810" t="str">
        <f t="shared" si="14"/>
        <v>工程地质条件</v>
      </c>
      <c r="R37" s="774" t="s">
        <v>17</v>
      </c>
      <c r="S37" s="775">
        <f t="shared" si="10"/>
        <v>100</v>
      </c>
      <c r="T37" s="774" t="s">
        <v>17</v>
      </c>
      <c r="U37" s="775">
        <f t="shared" si="11"/>
        <v>100</v>
      </c>
      <c r="V37" s="774" t="s">
        <v>17</v>
      </c>
      <c r="W37" s="775">
        <f t="shared" si="12"/>
        <v>100</v>
      </c>
      <c r="X37" s="1813"/>
      <c r="Y37" s="3301"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01"/>
      <c r="Q38" s="1810">
        <f t="shared" si="14"/>
        <v>111</v>
      </c>
      <c r="R38" s="774" t="s">
        <v>17</v>
      </c>
      <c r="S38" s="775">
        <f t="shared" si="10"/>
        <v>100</v>
      </c>
      <c r="T38" s="774" t="s">
        <v>17</v>
      </c>
      <c r="U38" s="775">
        <f t="shared" si="11"/>
        <v>100</v>
      </c>
      <c r="V38" s="774" t="s">
        <v>17</v>
      </c>
      <c r="W38" s="775">
        <f t="shared" si="12"/>
        <v>100</v>
      </c>
      <c r="X38" s="1813"/>
      <c r="Y38" s="330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01"/>
      <c r="Q39" s="1810">
        <f t="shared" si="14"/>
        <v>111</v>
      </c>
      <c r="R39" s="774" t="s">
        <v>17</v>
      </c>
      <c r="S39" s="775">
        <f t="shared" si="10"/>
        <v>100</v>
      </c>
      <c r="T39" s="774" t="s">
        <v>17</v>
      </c>
      <c r="U39" s="775">
        <f t="shared" si="11"/>
        <v>100</v>
      </c>
      <c r="V39" s="774" t="s">
        <v>17</v>
      </c>
      <c r="W39" s="775">
        <f t="shared" si="12"/>
        <v>100</v>
      </c>
      <c r="X39" s="1813"/>
      <c r="Y39" s="3301"/>
      <c r="Z39" s="1814">
        <f t="shared" si="13"/>
        <v>111</v>
      </c>
      <c r="AA39" s="1811">
        <f t="shared" si="3"/>
        <v>1</v>
      </c>
      <c r="AB39" s="1811">
        <f t="shared" si="4"/>
        <v>1</v>
      </c>
      <c r="AC39" s="1811">
        <f t="shared" si="5"/>
        <v>1</v>
      </c>
    </row>
    <row r="40" spans="1:29" s="471" customFormat="1" ht="15.6"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01"/>
      <c r="Q40" s="1810">
        <f t="shared" si="14"/>
        <v>111</v>
      </c>
      <c r="R40" s="777" t="s">
        <v>17</v>
      </c>
      <c r="S40" s="778">
        <f t="shared" si="10"/>
        <v>100</v>
      </c>
      <c r="T40" s="777" t="s">
        <v>17</v>
      </c>
      <c r="U40" s="778">
        <f t="shared" si="11"/>
        <v>100</v>
      </c>
      <c r="V40" s="777" t="s">
        <v>17</v>
      </c>
      <c r="W40" s="778">
        <f t="shared" si="12"/>
        <v>100</v>
      </c>
      <c r="X40" s="779"/>
      <c r="Y40" s="3301"/>
      <c r="Z40" s="780">
        <f t="shared" si="13"/>
        <v>111</v>
      </c>
      <c r="AA40" s="1811">
        <f t="shared" si="3"/>
        <v>1</v>
      </c>
      <c r="AB40" s="1811">
        <f t="shared" si="4"/>
        <v>1</v>
      </c>
      <c r="AC40" s="1811">
        <f t="shared" si="5"/>
        <v>1</v>
      </c>
    </row>
    <row r="41" spans="1:29" ht="14.4">
      <c r="A41" s="479" t="s">
        <v>2705</v>
      </c>
      <c r="B41" s="2699" t="s">
        <v>2784</v>
      </c>
      <c r="C41" s="682" t="s">
        <v>1</v>
      </c>
      <c r="D41" s="481"/>
      <c r="E41" s="482"/>
      <c r="F41" s="483"/>
      <c r="G41" s="484"/>
      <c r="H41" s="485"/>
      <c r="I41" s="482"/>
      <c r="J41" s="485"/>
      <c r="K41" s="783"/>
      <c r="L41" s="1143"/>
      <c r="M41" s="1131"/>
      <c r="N41" s="1131"/>
      <c r="O41" s="1144"/>
      <c r="P41" s="3283" t="str">
        <f>A41</f>
        <v>成交单价</v>
      </c>
      <c r="Q41" s="3283"/>
      <c r="R41" s="3296">
        <f>E41</f>
        <v>0</v>
      </c>
      <c r="S41" s="3296"/>
      <c r="T41" s="3296">
        <f>G41</f>
        <v>0</v>
      </c>
      <c r="U41" s="3296"/>
      <c r="V41" s="3296">
        <f>I41</f>
        <v>0</v>
      </c>
      <c r="W41" s="3296"/>
      <c r="X41" s="759"/>
      <c r="Y41" s="781"/>
      <c r="Z41" s="759"/>
      <c r="AA41" s="759"/>
      <c r="AB41" s="759"/>
      <c r="AC41" s="759"/>
    </row>
    <row r="42" spans="1:29" ht="15" thickBot="1">
      <c r="A42" s="486" t="s">
        <v>2654</v>
      </c>
      <c r="B42" s="683"/>
      <c r="C42" s="490" t="e">
        <f>R43</f>
        <v>#DIV/0!</v>
      </c>
      <c r="D42" s="489"/>
      <c r="E42" s="490" t="e">
        <f>R42</f>
        <v>#DIV/0!</v>
      </c>
      <c r="F42" s="491"/>
      <c r="G42" s="488" t="e">
        <f>T42</f>
        <v>#DIV/0!</v>
      </c>
      <c r="H42" s="489"/>
      <c r="I42" s="490" t="e">
        <f>V42</f>
        <v>#DIV/0!</v>
      </c>
      <c r="J42" s="489"/>
      <c r="K42" s="784"/>
      <c r="L42" s="1143"/>
      <c r="M42" s="1131"/>
      <c r="N42" s="1131"/>
      <c r="O42" s="1144"/>
      <c r="P42" s="3283" t="str">
        <f>A42</f>
        <v>比较价值（元/平方米）</v>
      </c>
      <c r="Q42" s="3283"/>
      <c r="R42" s="3302" t="e">
        <f>ROUND(PRODUCT(R41,AA7:AA40),0)</f>
        <v>#DIV/0!</v>
      </c>
      <c r="S42" s="3302"/>
      <c r="T42" s="3302" t="e">
        <f>ROUND(PRODUCT(T41,AB7:AB40),0)</f>
        <v>#DIV/0!</v>
      </c>
      <c r="U42" s="3302"/>
      <c r="V42" s="3302" t="e">
        <f>ROUND(PRODUCT(V41,AC7:AC40),0)</f>
        <v>#DIV/0!</v>
      </c>
      <c r="W42" s="3302"/>
      <c r="X42" s="759"/>
      <c r="Y42" s="759"/>
      <c r="Z42" s="759"/>
      <c r="AA42" s="759"/>
      <c r="AB42" s="759"/>
      <c r="AC42" s="759"/>
    </row>
    <row r="43" spans="1:29" ht="15" thickBot="1">
      <c r="A43" s="492" t="s">
        <v>2655</v>
      </c>
      <c r="B43" s="493"/>
      <c r="C43" s="494" t="e">
        <f>R43</f>
        <v>#DIV/0!</v>
      </c>
      <c r="D43" s="494"/>
      <c r="E43" s="494"/>
      <c r="F43" s="494"/>
      <c r="G43" s="494"/>
      <c r="H43" s="494"/>
      <c r="I43" s="494"/>
      <c r="J43" s="494"/>
      <c r="K43" s="785"/>
      <c r="L43" s="1143"/>
      <c r="M43" s="1131"/>
      <c r="N43" s="1131"/>
      <c r="O43" s="1144"/>
      <c r="P43" s="3303" t="str">
        <f>A43</f>
        <v>估价对象XX用房的比较价值（楼面单价，元/平方米）</v>
      </c>
      <c r="Q43" s="3304"/>
      <c r="R43" s="3305" t="e">
        <f>ROUND(AVERAGE(R42:V42),0)</f>
        <v>#DIV/0!</v>
      </c>
      <c r="S43" s="3305"/>
      <c r="T43" s="3305"/>
      <c r="U43" s="3305"/>
      <c r="V43" s="3305"/>
      <c r="W43" s="330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2742</v>
      </c>
      <c r="B50" s="685" t="s">
        <v>2743</v>
      </c>
      <c r="C50" s="2700" t="s">
        <v>2744</v>
      </c>
      <c r="D50" s="2701" t="s">
        <v>2745</v>
      </c>
      <c r="E50" s="686" t="s">
        <v>2746</v>
      </c>
      <c r="F50" s="687" t="s">
        <v>2747</v>
      </c>
      <c r="G50" s="3284" t="s">
        <v>2748</v>
      </c>
      <c r="H50" s="3306"/>
      <c r="I50" s="1814" t="s">
        <v>2785</v>
      </c>
      <c r="J50" s="1814" t="str">
        <f>项目基本情况!F35</f>
        <v>武汉市</v>
      </c>
      <c r="K50" s="2703" t="s">
        <v>2750</v>
      </c>
      <c r="L50" s="1106"/>
      <c r="M50" s="1144"/>
      <c r="N50" s="1144"/>
      <c r="O50" s="1144"/>
    </row>
    <row r="51" spans="1:17" s="692" customFormat="1">
      <c r="A51" s="688" t="s">
        <v>2751</v>
      </c>
      <c r="B51" s="689" t="e">
        <f>C43</f>
        <v>#DIV/0!</v>
      </c>
      <c r="C51" s="690">
        <v>1</v>
      </c>
      <c r="D51" s="1163">
        <v>1</v>
      </c>
      <c r="E51" s="690">
        <f>'数据-汇总表'!E8+'数据-汇总表'!E9</f>
        <v>55474.460000000014</v>
      </c>
      <c r="F51" s="691" t="e">
        <f t="shared" ref="F51:F60" si="15">ROUND(B51*E51/10000,0)</f>
        <v>#DIV/0!</v>
      </c>
      <c r="G51" s="3307"/>
      <c r="H51" s="3283"/>
      <c r="I51" s="942">
        <v>1</v>
      </c>
      <c r="J51" s="942">
        <v>1</v>
      </c>
      <c r="K51" s="1145"/>
      <c r="L51" s="941"/>
      <c r="M51" s="941"/>
      <c r="N51" s="941"/>
      <c r="O51" s="941"/>
    </row>
    <row r="52" spans="1:17" s="692" customFormat="1">
      <c r="A52" s="693" t="s">
        <v>2752</v>
      </c>
      <c r="B52" s="262" t="e">
        <f>ROUND($C$43*C52*D52,0)</f>
        <v>#DIV/0!</v>
      </c>
      <c r="C52" s="200">
        <f t="shared" ref="C52:C60" si="16">IF($C$50="北京市系数",I52,J52)</f>
        <v>0</v>
      </c>
      <c r="D52" s="1164">
        <v>0.25</v>
      </c>
      <c r="E52" s="694"/>
      <c r="F52" s="691" t="e">
        <f t="shared" si="15"/>
        <v>#DIV/0!</v>
      </c>
      <c r="G52" s="3308" t="s">
        <v>2753</v>
      </c>
      <c r="H52" s="1104">
        <f>项目基本情况!B37</f>
        <v>0</v>
      </c>
      <c r="I52" s="942">
        <f>SUMIF(修正!A45:A56,H52,修正!B45:B56)</f>
        <v>0</v>
      </c>
      <c r="J52" s="943"/>
      <c r="K52" s="1144"/>
      <c r="L52" s="941"/>
      <c r="M52" s="941"/>
      <c r="N52" s="941"/>
      <c r="O52" s="941"/>
    </row>
    <row r="53" spans="1:17" s="692" customFormat="1">
      <c r="A53" s="693" t="s">
        <v>2754</v>
      </c>
      <c r="B53" s="262" t="e">
        <f t="shared" ref="B53:B60" si="17">ROUND($C$43*C53*D53,0)</f>
        <v>#DIV/0!</v>
      </c>
      <c r="C53" s="200">
        <f t="shared" si="16"/>
        <v>0</v>
      </c>
      <c r="D53" s="1164">
        <v>0.25</v>
      </c>
      <c r="E53" s="694"/>
      <c r="F53" s="691" t="e">
        <f t="shared" si="15"/>
        <v>#DIV/0!</v>
      </c>
      <c r="G53" s="3308"/>
      <c r="H53" s="1104">
        <f>项目基本情况!B37</f>
        <v>0</v>
      </c>
      <c r="I53" s="942">
        <f>SUMIF(修正!A45:A56,H53,修正!C45:C56)</f>
        <v>0</v>
      </c>
      <c r="J53" s="943"/>
      <c r="K53" s="1145"/>
      <c r="L53" s="941"/>
      <c r="M53" s="941"/>
      <c r="N53" s="941"/>
      <c r="O53" s="941"/>
    </row>
    <row r="54" spans="1:17" s="692" customFormat="1">
      <c r="A54" s="693" t="s">
        <v>2755</v>
      </c>
      <c r="B54" s="262" t="e">
        <f t="shared" si="17"/>
        <v>#DIV/0!</v>
      </c>
      <c r="C54" s="200">
        <f t="shared" si="16"/>
        <v>0</v>
      </c>
      <c r="D54" s="1164">
        <v>0.25</v>
      </c>
      <c r="E54" s="694"/>
      <c r="F54" s="691" t="e">
        <f t="shared" si="15"/>
        <v>#DIV/0!</v>
      </c>
      <c r="G54" s="3308"/>
      <c r="H54" s="1104">
        <f>项目基本情况!B37</f>
        <v>0</v>
      </c>
      <c r="I54" s="942">
        <f>SUMIF(修正!A45:A56,H54,修正!D45:D56)</f>
        <v>0</v>
      </c>
      <c r="J54" s="943"/>
      <c r="K54" s="1144"/>
      <c r="L54" s="941"/>
      <c r="M54" s="941"/>
      <c r="N54" s="941"/>
      <c r="O54" s="941"/>
    </row>
    <row r="55" spans="1:17" s="692" customFormat="1">
      <c r="A55" s="693" t="s">
        <v>2756</v>
      </c>
      <c r="B55" s="262" t="e">
        <f t="shared" si="17"/>
        <v>#DIV/0!</v>
      </c>
      <c r="C55" s="200">
        <f t="shared" si="16"/>
        <v>0</v>
      </c>
      <c r="D55" s="1164">
        <v>0.25</v>
      </c>
      <c r="E55" s="694"/>
      <c r="F55" s="691" t="e">
        <f t="shared" si="15"/>
        <v>#DIV/0!</v>
      </c>
      <c r="G55" s="3308"/>
      <c r="H55" s="1104">
        <f>项目基本情况!B37</f>
        <v>0</v>
      </c>
      <c r="I55" s="942">
        <f>SUMIF(修正!A45:A56,H55,修正!E45:E56)</f>
        <v>0</v>
      </c>
      <c r="J55" s="943"/>
      <c r="K55" s="1145"/>
      <c r="L55" s="941"/>
      <c r="M55" s="941"/>
      <c r="N55" s="941"/>
      <c r="O55" s="941"/>
    </row>
    <row r="56" spans="1:17" s="692" customFormat="1">
      <c r="A56" s="693" t="s">
        <v>2757</v>
      </c>
      <c r="B56" s="262" t="e">
        <f t="shared" si="17"/>
        <v>#DIV/0!</v>
      </c>
      <c r="C56" s="200">
        <f t="shared" si="16"/>
        <v>0</v>
      </c>
      <c r="D56" s="1164">
        <v>0.25</v>
      </c>
      <c r="E56" s="261">
        <f>'数据-汇总表'!E11</f>
        <v>0</v>
      </c>
      <c r="F56" s="691" t="e">
        <f t="shared" si="15"/>
        <v>#DIV/0!</v>
      </c>
      <c r="G56" s="2704" t="s">
        <v>2758</v>
      </c>
      <c r="H56" s="1104">
        <f>项目基本情况!C37</f>
        <v>0</v>
      </c>
      <c r="I56" s="942">
        <f>SUMIF(修正!A45:A56,H56,修正!F45:F56)</f>
        <v>0</v>
      </c>
      <c r="J56" s="943"/>
      <c r="K56" s="1144"/>
      <c r="L56" s="941"/>
      <c r="M56" s="941"/>
      <c r="N56" s="941"/>
      <c r="O56" s="941"/>
    </row>
    <row r="57" spans="1:17" s="692" customFormat="1">
      <c r="A57" s="693" t="s">
        <v>2759</v>
      </c>
      <c r="B57" s="262" t="e">
        <f t="shared" si="17"/>
        <v>#DIV/0!</v>
      </c>
      <c r="C57" s="200">
        <f t="shared" si="16"/>
        <v>0</v>
      </c>
      <c r="D57" s="1164">
        <v>0.25</v>
      </c>
      <c r="E57" s="261">
        <f>'数据-汇总表'!E12</f>
        <v>0</v>
      </c>
      <c r="F57" s="691" t="e">
        <f t="shared" si="15"/>
        <v>#DIV/0!</v>
      </c>
      <c r="G57" s="1109" t="s">
        <v>2760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2761</v>
      </c>
      <c r="B58" s="262" t="e">
        <f t="shared" si="17"/>
        <v>#DIV/0!</v>
      </c>
      <c r="C58" s="200">
        <f t="shared" si="16"/>
        <v>0</v>
      </c>
      <c r="D58" s="1164">
        <v>0.25</v>
      </c>
      <c r="E58" s="261">
        <f>'数据-汇总表'!E13</f>
        <v>0</v>
      </c>
      <c r="F58" s="691" t="e">
        <f t="shared" si="15"/>
        <v>#DIV/0!</v>
      </c>
      <c r="G58" s="1109" t="s">
        <v>2762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2763</v>
      </c>
      <c r="B59" s="262" t="e">
        <f t="shared" si="17"/>
        <v>#DIV/0!</v>
      </c>
      <c r="C59" s="200">
        <f t="shared" si="16"/>
        <v>0</v>
      </c>
      <c r="D59" s="1164">
        <v>0.25</v>
      </c>
      <c r="E59" s="261">
        <f>'数据-汇总表'!E14</f>
        <v>0</v>
      </c>
      <c r="F59" s="691" t="e">
        <f t="shared" si="15"/>
        <v>#DIV/0!</v>
      </c>
      <c r="G59" s="2704" t="s">
        <v>2753</v>
      </c>
      <c r="H59" s="1104">
        <f>项目基本情况!B37</f>
        <v>0</v>
      </c>
      <c r="I59" s="942">
        <f>SUMIF(修正!A45:A56,H59,修正!H45:H56)</f>
        <v>0</v>
      </c>
      <c r="J59" s="943"/>
      <c r="K59" s="1145"/>
      <c r="L59" s="941"/>
      <c r="M59" s="941"/>
      <c r="N59" s="941"/>
      <c r="O59" s="941"/>
    </row>
    <row r="60" spans="1:17" s="692" customFormat="1" ht="14.4" thickBot="1">
      <c r="A60" s="693" t="s">
        <v>2764</v>
      </c>
      <c r="B60" s="262" t="e">
        <f t="shared" si="17"/>
        <v>#DIV/0!</v>
      </c>
      <c r="C60" s="200">
        <f t="shared" si="16"/>
        <v>0</v>
      </c>
      <c r="D60" s="1164">
        <v>0.25</v>
      </c>
      <c r="E60" s="261">
        <f>'数据-汇总表'!E15</f>
        <v>0</v>
      </c>
      <c r="F60" s="691" t="e">
        <f t="shared" si="15"/>
        <v>#DIV/0!</v>
      </c>
      <c r="G60" s="2705" t="s">
        <v>2758</v>
      </c>
      <c r="H60" s="1114">
        <f>项目基本情况!C37</f>
        <v>0</v>
      </c>
      <c r="I60" s="942">
        <f>SUMIF(修正!A45:A56,H60,修正!H45:H56)</f>
        <v>0</v>
      </c>
      <c r="J60" s="943"/>
      <c r="K60" s="1144"/>
      <c r="L60" s="941"/>
      <c r="M60" s="941"/>
      <c r="N60" s="941"/>
      <c r="O60" s="941"/>
    </row>
    <row r="61" spans="1:17" s="692" customFormat="1" ht="14.4" thickBot="1">
      <c r="A61" s="695" t="s">
        <v>2765</v>
      </c>
      <c r="B61" s="696" t="s">
        <v>28</v>
      </c>
      <c r="C61" s="696" t="s">
        <v>29</v>
      </c>
      <c r="D61" s="696" t="s">
        <v>1026</v>
      </c>
      <c r="E61" s="696">
        <f>IF(B41="楼面地价",SUM(E51:E60),'数据-汇总表'!D3)</f>
        <v>16576.98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2.2" thickBot="1">
      <c r="A64" s="763" t="s">
        <v>2659</v>
      </c>
      <c r="B64" s="759"/>
      <c r="C64" s="764"/>
      <c r="D64" s="764"/>
      <c r="E64" s="764"/>
      <c r="F64" s="765"/>
      <c r="G64" s="765"/>
      <c r="H64" s="764"/>
      <c r="I64" s="764"/>
      <c r="J64" s="764"/>
      <c r="K64" s="766"/>
      <c r="L64" s="767"/>
      <c r="M64" s="764"/>
      <c r="N64" s="764"/>
      <c r="O64" s="1159"/>
      <c r="P64" s="503"/>
      <c r="Q64" s="504"/>
    </row>
    <row r="65" spans="1:17" s="508" customFormat="1" ht="14.4">
      <c r="A65" s="2706" t="s">
        <v>2766</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1" t="s">
        <v>2786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2570</v>
      </c>
      <c r="B67" s="516"/>
      <c r="C67" s="517"/>
      <c r="D67" s="518"/>
      <c r="E67" s="518"/>
      <c r="F67" s="518"/>
      <c r="G67" s="518"/>
      <c r="H67" s="518"/>
      <c r="I67" s="518"/>
      <c r="J67" s="518"/>
      <c r="K67" s="518"/>
      <c r="L67" s="518"/>
      <c r="M67" s="519"/>
      <c r="N67" s="519"/>
      <c r="O67" s="520"/>
      <c r="P67" s="504"/>
      <c r="Q67" s="504"/>
    </row>
    <row r="68" spans="1:17" s="117" customFormat="1" ht="14.4">
      <c r="A68" s="521" t="s">
        <v>2536</v>
      </c>
      <c r="B68" s="510"/>
      <c r="C68" s="522" t="s">
        <v>2637</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2573</v>
      </c>
      <c r="B70" s="528" t="s">
        <v>2540</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2543</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2545</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2769</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2770</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2787</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2676</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2735</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2549</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3" customWidth="1"/>
    <col min="2" max="2" width="19.21875" style="2889" customWidth="1"/>
    <col min="3" max="4" width="12" style="2715"/>
    <col min="5" max="5" width="14.6640625" style="2715" customWidth="1"/>
    <col min="6" max="8" width="12" style="2715"/>
    <col min="9" max="9" width="12.21875" style="2715" bestFit="1" customWidth="1"/>
    <col min="10" max="10" width="12" style="2715"/>
    <col min="11" max="11" width="8.109375" style="2778" customWidth="1"/>
    <col min="12" max="12" width="12" style="2715"/>
    <col min="13" max="13" width="8.44140625" style="2715" customWidth="1"/>
    <col min="14" max="14" width="9.77734375" style="2715" customWidth="1"/>
    <col min="15" max="25" width="12" style="2715"/>
    <col min="26" max="26" width="9.33203125" style="2783" customWidth="1"/>
    <col min="27" max="32" width="9.33203125" style="1372" customWidth="1"/>
    <col min="33" max="36" width="9.33203125" style="2783" customWidth="1"/>
    <col min="37" max="38" width="9.33203125" style="2715" customWidth="1"/>
    <col min="39" max="16384" width="12" style="2715"/>
  </cols>
  <sheetData>
    <row r="1" spans="1:36" ht="31.2">
      <c r="A1" s="240" t="s">
        <v>2788</v>
      </c>
      <c r="B1" s="241"/>
      <c r="C1" s="245" t="s">
        <v>2789</v>
      </c>
      <c r="D1" s="388">
        <f>SUM(D29:D30,D33:D39)</f>
        <v>0</v>
      </c>
      <c r="E1" s="2712"/>
      <c r="F1" s="2712"/>
      <c r="G1" s="2712"/>
      <c r="H1" s="2712"/>
      <c r="I1" s="2712"/>
      <c r="J1" s="2712"/>
      <c r="K1" s="1370"/>
      <c r="L1" s="2713" t="s">
        <v>2790</v>
      </c>
      <c r="M1" s="1080">
        <f>SUMPRODUCT((区片价!B5:B9=I2)*(区片价!C3:F3=E2)*(区片价!C5:F9))</f>
        <v>0</v>
      </c>
      <c r="N1" s="1083">
        <f>SUMPRODUCT((因素修正幅度!B5:B9=I2)*(因素修正幅度!C3:F3=E2)*(因素修正幅度!C5:F9))</f>
        <v>0</v>
      </c>
      <c r="O1" s="2714"/>
      <c r="P1" s="2714"/>
      <c r="Q1" s="1370"/>
      <c r="R1" s="1602" t="s">
        <v>2791</v>
      </c>
      <c r="S1" s="1602" t="s">
        <v>2792</v>
      </c>
      <c r="T1" s="1602" t="s">
        <v>2793</v>
      </c>
      <c r="U1" s="1602" t="s">
        <v>2794</v>
      </c>
      <c r="V1" s="1602" t="s">
        <v>2795</v>
      </c>
      <c r="W1" s="1606"/>
      <c r="X1" s="1606"/>
      <c r="Y1" s="1606"/>
      <c r="Z1" s="1606"/>
      <c r="AA1" s="1606"/>
      <c r="AB1" s="1606"/>
      <c r="AC1" s="1607"/>
      <c r="AD1" s="1608"/>
      <c r="AE1" s="1608"/>
      <c r="AF1" s="1608"/>
      <c r="AG1" s="1608"/>
      <c r="AH1" s="1608"/>
      <c r="AI1" s="1608"/>
      <c r="AJ1" s="1609"/>
    </row>
    <row r="2" spans="1:36" ht="15.6">
      <c r="A2" s="245" t="s">
        <v>2796</v>
      </c>
      <c r="B2" s="248" t="e">
        <f>C26</f>
        <v>#DIV/0!</v>
      </c>
      <c r="C2" s="2716" t="s">
        <v>2797</v>
      </c>
      <c r="D2" s="2717" t="s">
        <v>2798</v>
      </c>
      <c r="E2" s="2718"/>
      <c r="F2" s="2717" t="s">
        <v>2799</v>
      </c>
      <c r="G2" s="2719">
        <f>IF(E2="商业",项目基本情况!B37,IF(E2="办公",项目基本情况!C37,IF(E2="住宅",项目基本情况!D37,项目基本情况!E37)))</f>
        <v>0</v>
      </c>
      <c r="H2" s="2717" t="s">
        <v>2800</v>
      </c>
      <c r="I2" s="2719">
        <f>IF(E2="商业",项目基本情况!B38,IF(E2="办公",项目基本情况!C38,IF(E2="住宅",项目基本情况!D38,项目基本情况!E38)))</f>
        <v>0</v>
      </c>
      <c r="J2" s="2720"/>
      <c r="K2" s="1370"/>
      <c r="L2" s="2721" t="s">
        <v>2801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2802</v>
      </c>
      <c r="B3" s="248" t="e">
        <f>ROUND(B2*10000/D1,0)</f>
        <v>#DIV/0!</v>
      </c>
      <c r="C3" s="2716" t="s">
        <v>2803</v>
      </c>
      <c r="D3" s="2717" t="s">
        <v>2804</v>
      </c>
      <c r="E3" s="2722"/>
      <c r="F3" s="2723" t="s">
        <v>2805</v>
      </c>
      <c r="G3" s="916">
        <f>IF(F3="宗地容积率",'数据-汇总表'!I4,IF(F3="估价对象容积率",'数据-汇总表'!I6,'数据-汇总表'!I7))</f>
        <v>3.35</v>
      </c>
      <c r="H3" s="198" t="s">
        <v>2806</v>
      </c>
      <c r="I3" s="944"/>
      <c r="J3" s="2720" t="s">
        <v>2807</v>
      </c>
      <c r="K3" s="1370"/>
      <c r="L3" s="2721" t="s">
        <v>2808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394"/>
      <c r="B4" s="3395"/>
      <c r="C4" s="3395"/>
      <c r="D4" s="3396"/>
      <c r="E4" s="3396"/>
      <c r="F4" s="3396"/>
      <c r="G4" s="3396"/>
      <c r="H4" s="3396"/>
      <c r="I4" s="3396"/>
      <c r="J4" s="3397"/>
      <c r="K4" s="1370"/>
      <c r="L4" s="2721" t="s">
        <v>2809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6" thickBot="1">
      <c r="A5" s="2724" t="s">
        <v>807</v>
      </c>
      <c r="B5" s="2725" t="s">
        <v>2810</v>
      </c>
      <c r="C5" s="917" t="e">
        <f>ROUND(IF(E2="商业",C6*C7+C16,(IF(E2="住宅",C6*C12+C16,C6+C16))),0)</f>
        <v>#DIV/0!</v>
      </c>
      <c r="D5" s="1787" t="e">
        <f>ROUND(C6+C16,0)</f>
        <v>#DIV/0!</v>
      </c>
      <c r="E5" s="1787"/>
      <c r="F5" s="2726"/>
      <c r="G5" s="2727"/>
      <c r="H5" s="2727"/>
      <c r="I5" s="2727"/>
      <c r="J5" s="2728"/>
      <c r="K5" s="2729"/>
      <c r="L5" s="2721" t="s">
        <v>2811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6" thickBot="1">
      <c r="A6" s="2734" t="s">
        <v>2812</v>
      </c>
      <c r="B6" s="2735" t="s">
        <v>2813</v>
      </c>
      <c r="C6" s="918">
        <f>SUMIF(L1:L12,G2,M1:M12)</f>
        <v>0</v>
      </c>
      <c r="D6" s="2736" t="s">
        <v>2814</v>
      </c>
      <c r="E6" s="2737"/>
      <c r="F6" s="2737"/>
      <c r="G6" s="2738"/>
      <c r="H6" s="2738"/>
      <c r="I6" s="2738"/>
      <c r="J6" s="2739"/>
      <c r="K6" s="1842"/>
      <c r="L6" s="2721" t="s">
        <v>2815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378" t="str">
        <f>IF(E2="商业",IF(C8="不临58条商业街","",2),"")</f>
        <v/>
      </c>
      <c r="B7" s="2740" t="s">
        <v>2816</v>
      </c>
      <c r="C7" s="919" t="e">
        <f>IF(C8="不临58条商业街",1,ROUND(1+(1.6*E8+1.2*E9+0.8*E10+0.4*E11)*C9,4))</f>
        <v>#DIV/0!</v>
      </c>
      <c r="D7" s="2741" t="s">
        <v>2817</v>
      </c>
      <c r="E7" s="945"/>
      <c r="F7" s="2742"/>
      <c r="G7" s="2743"/>
      <c r="H7" s="2743"/>
      <c r="I7" s="2743"/>
      <c r="J7" s="2744"/>
      <c r="K7" s="1842"/>
      <c r="L7" s="2721" t="s">
        <v>2818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2819</v>
      </c>
      <c r="X7" s="1604">
        <f>G2</f>
        <v>0</v>
      </c>
      <c r="Y7" s="1604" t="s">
        <v>2820</v>
      </c>
      <c r="Z7" s="1605">
        <f>G3</f>
        <v>3.35</v>
      </c>
      <c r="AA7" s="1606"/>
      <c r="AB7" s="1606"/>
      <c r="AC7" s="1607"/>
      <c r="AD7" s="1608"/>
      <c r="AE7" s="1608"/>
      <c r="AF7" s="1608"/>
      <c r="AG7" s="1608"/>
      <c r="AH7" s="1608"/>
      <c r="AI7" s="1608"/>
      <c r="AJ7" s="1609"/>
    </row>
    <row r="8" spans="1:36" ht="15">
      <c r="A8" s="3398"/>
      <c r="B8" s="198" t="s">
        <v>2821</v>
      </c>
      <c r="C8" s="2745"/>
      <c r="D8" s="920" t="s">
        <v>139</v>
      </c>
      <c r="E8" s="921" t="e">
        <f>ROUND(C11/E7,4)</f>
        <v>#DIV/0!</v>
      </c>
      <c r="F8" s="2746" t="s">
        <v>2822</v>
      </c>
      <c r="G8" s="2747"/>
      <c r="H8" s="2747"/>
      <c r="I8" s="2747"/>
      <c r="J8" s="2748"/>
      <c r="K8" s="1370"/>
      <c r="L8" s="2721" t="s">
        <v>2823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91" t="s">
        <v>2824</v>
      </c>
      <c r="X8" s="3392"/>
      <c r="Y8" s="1610" t="s">
        <v>2825</v>
      </c>
      <c r="Z8" s="1610" t="s">
        <v>2826</v>
      </c>
      <c r="AA8" s="1610" t="s">
        <v>2827</v>
      </c>
      <c r="AB8" s="1610" t="s">
        <v>2828</v>
      </c>
      <c r="AC8" s="1610" t="s">
        <v>2829</v>
      </c>
      <c r="AD8" s="1610" t="s">
        <v>2830</v>
      </c>
      <c r="AE8" s="1610" t="s">
        <v>2831</v>
      </c>
      <c r="AF8" s="1610" t="s">
        <v>2832</v>
      </c>
      <c r="AG8" s="1610" t="s">
        <v>2833</v>
      </c>
      <c r="AH8" s="1610" t="s">
        <v>2834</v>
      </c>
      <c r="AI8" s="1610" t="s">
        <v>2835</v>
      </c>
      <c r="AJ8" s="1610" t="s">
        <v>2836</v>
      </c>
    </row>
    <row r="9" spans="1:36" ht="15">
      <c r="A9" s="3398"/>
      <c r="B9" s="198" t="s">
        <v>2837</v>
      </c>
      <c r="C9" s="922">
        <f>SUMIF(修正!C59:C119,C8,修正!E59:E119)</f>
        <v>0</v>
      </c>
      <c r="D9" s="200" t="s">
        <v>140</v>
      </c>
      <c r="E9" s="200" t="e">
        <f>ROUND(C11/E7,4)</f>
        <v>#DIV/0!</v>
      </c>
      <c r="F9" s="2746" t="s">
        <v>2838</v>
      </c>
      <c r="G9" s="2747"/>
      <c r="H9" s="2747"/>
      <c r="I9" s="2747"/>
      <c r="J9" s="2748"/>
      <c r="K9" s="1370"/>
      <c r="L9" s="2721" t="s">
        <v>2839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93" t="s">
        <v>2840</v>
      </c>
      <c r="X9" s="1611" t="s">
        <v>2841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98"/>
      <c r="B10" s="198" t="s">
        <v>2842</v>
      </c>
      <c r="C10" s="200">
        <f>SUMIF(修正!C59:C119,C8,修正!F59:F119)</f>
        <v>0</v>
      </c>
      <c r="D10" s="200" t="s">
        <v>141</v>
      </c>
      <c r="E10" s="200" t="e">
        <f>ROUND(C11/E7,4)</f>
        <v>#DIV/0!</v>
      </c>
      <c r="F10" s="2746" t="s">
        <v>2843</v>
      </c>
      <c r="G10" s="2747"/>
      <c r="H10" s="2747"/>
      <c r="I10" s="2747"/>
      <c r="J10" s="2748"/>
      <c r="K10" s="1370"/>
      <c r="L10" s="2721" t="s">
        <v>2844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9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398"/>
      <c r="B11" s="2749" t="s">
        <v>2845</v>
      </c>
      <c r="C11" s="923">
        <f>C10/4</f>
        <v>0</v>
      </c>
      <c r="D11" s="923" t="s">
        <v>142</v>
      </c>
      <c r="E11" s="923" t="e">
        <f>ROUND(C11/E7,4)</f>
        <v>#DIV/0!</v>
      </c>
      <c r="F11" s="2750" t="s">
        <v>2846</v>
      </c>
      <c r="G11" s="2751"/>
      <c r="H11" s="2751"/>
      <c r="I11" s="2751"/>
      <c r="J11" s="2752"/>
      <c r="K11" s="1370"/>
      <c r="L11" s="2721" t="s">
        <v>2847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93" t="s">
        <v>2848</v>
      </c>
      <c r="X11" s="1614" t="s">
        <v>2849</v>
      </c>
      <c r="Y11" s="1615">
        <f>$G$3</f>
        <v>3.35</v>
      </c>
      <c r="Z11" s="1615">
        <f t="shared" ref="Z11:AJ11" si="3">$G$3</f>
        <v>3.35</v>
      </c>
      <c r="AA11" s="1615">
        <f t="shared" si="3"/>
        <v>3.35</v>
      </c>
      <c r="AB11" s="1615">
        <f t="shared" si="3"/>
        <v>3.35</v>
      </c>
      <c r="AC11" s="1615">
        <f t="shared" si="3"/>
        <v>3.35</v>
      </c>
      <c r="AD11" s="1615">
        <f t="shared" si="3"/>
        <v>3.35</v>
      </c>
      <c r="AE11" s="1615">
        <f t="shared" si="3"/>
        <v>3.35</v>
      </c>
      <c r="AF11" s="1615">
        <f t="shared" si="3"/>
        <v>3.35</v>
      </c>
      <c r="AG11" s="1615">
        <f t="shared" si="3"/>
        <v>3.35</v>
      </c>
      <c r="AH11" s="1615">
        <f t="shared" si="3"/>
        <v>3.35</v>
      </c>
      <c r="AI11" s="1615">
        <f t="shared" si="3"/>
        <v>3.35</v>
      </c>
      <c r="AJ11" s="1615">
        <f t="shared" si="3"/>
        <v>3.35</v>
      </c>
    </row>
    <row r="12" spans="1:36" ht="25.8" thickBot="1">
      <c r="A12" s="3378" t="s">
        <v>2850</v>
      </c>
      <c r="B12" s="2753" t="s">
        <v>2851</v>
      </c>
      <c r="C12" s="919">
        <f>ROUND(C15*D15*E15*F15*G15*H15*I15*J15,4)</f>
        <v>1</v>
      </c>
      <c r="D12" s="2754" t="s">
        <v>2852</v>
      </c>
      <c r="E12" s="2755"/>
      <c r="F12" s="2755"/>
      <c r="G12" s="2756"/>
      <c r="H12" s="2756"/>
      <c r="I12" s="2756"/>
      <c r="J12" s="2757"/>
      <c r="K12" s="1370"/>
      <c r="L12" s="2758" t="s">
        <v>2853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93"/>
      <c r="X12" s="1616" t="s">
        <v>2854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99"/>
      <c r="B13" s="2759" t="s">
        <v>2855</v>
      </c>
      <c r="C13" s="2760" t="s">
        <v>2856</v>
      </c>
      <c r="D13" s="1808" t="s">
        <v>2857</v>
      </c>
      <c r="E13" s="1808" t="s">
        <v>2858</v>
      </c>
      <c r="F13" s="30" t="s">
        <v>2859</v>
      </c>
      <c r="G13" s="2761" t="s">
        <v>2860</v>
      </c>
      <c r="H13" s="2761" t="s">
        <v>2860</v>
      </c>
      <c r="I13" s="2761" t="s">
        <v>2860</v>
      </c>
      <c r="J13" s="2762" t="s">
        <v>2860</v>
      </c>
      <c r="K13" s="1370"/>
      <c r="L13" s="1370"/>
      <c r="M13" s="1370"/>
      <c r="N13" s="1370"/>
      <c r="O13" s="1370"/>
      <c r="P13" s="1370"/>
      <c r="Q13" s="1370"/>
      <c r="R13" s="1602">
        <v>12</v>
      </c>
      <c r="S13" s="1603"/>
      <c r="T13" s="1602" t="e">
        <f t="shared" si="0"/>
        <v>#DIV/0!</v>
      </c>
      <c r="U13" s="1603"/>
      <c r="V13" s="1602" t="e">
        <f t="shared" si="1"/>
        <v>#DIV/0!</v>
      </c>
      <c r="W13" s="3393"/>
      <c r="X13" s="1616"/>
      <c r="Y13" s="1613">
        <f>(-0.163*(Y12^2)-0.59*Y12+7617)*(10^(-4))/Y11</f>
        <v>0.22737313432835821</v>
      </c>
      <c r="Z13" s="1613">
        <f t="shared" ref="Z13:AJ13" si="5">(-0.163*(Z12^2)-0.59*Z12+7617)*(10^(-4))/Z11</f>
        <v>0.22737313432835821</v>
      </c>
      <c r="AA13" s="1613">
        <f t="shared" si="5"/>
        <v>0.22737313432835821</v>
      </c>
      <c r="AB13" s="1613">
        <f t="shared" si="5"/>
        <v>0.22737313432835821</v>
      </c>
      <c r="AC13" s="1613">
        <f t="shared" si="5"/>
        <v>0.22737313432835821</v>
      </c>
      <c r="AD13" s="1613">
        <f t="shared" si="5"/>
        <v>0.22737313432835821</v>
      </c>
      <c r="AE13" s="1613">
        <f t="shared" si="5"/>
        <v>0.22737313432835821</v>
      </c>
      <c r="AF13" s="1613">
        <f t="shared" si="5"/>
        <v>0.22737313432835821</v>
      </c>
      <c r="AG13" s="1613">
        <f t="shared" si="5"/>
        <v>0.22737313432835821</v>
      </c>
      <c r="AH13" s="1613">
        <f t="shared" si="5"/>
        <v>0.22737313432835821</v>
      </c>
      <c r="AI13" s="1613">
        <f t="shared" si="5"/>
        <v>0.22737313432835821</v>
      </c>
      <c r="AJ13" s="1613">
        <f t="shared" si="5"/>
        <v>0.22737313432835821</v>
      </c>
    </row>
    <row r="14" spans="1:36" ht="15">
      <c r="A14" s="3399"/>
      <c r="B14" s="2763"/>
      <c r="C14" s="2764"/>
      <c r="D14" s="2765"/>
      <c r="E14" s="2765"/>
      <c r="F14" s="2766"/>
      <c r="G14" s="2767" t="s">
        <v>2861</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400"/>
      <c r="B15" s="2771" t="s">
        <v>2862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78" t="s">
        <v>2867</v>
      </c>
      <c r="B16" s="2740" t="s">
        <v>2868</v>
      </c>
      <c r="C16" s="2927" t="e">
        <f>ROUND(IF(F17="与级别开发程度一致",0,(G17-E17)/C17),0)</f>
        <v>#DIV/0!</v>
      </c>
      <c r="D16" s="3389" t="s">
        <v>2872</v>
      </c>
      <c r="E16" s="3390"/>
      <c r="F16" s="3389" t="s">
        <v>2869</v>
      </c>
      <c r="G16" s="3390"/>
      <c r="H16" s="2774"/>
      <c r="I16" s="2774"/>
      <c r="J16" s="2931"/>
      <c r="K16" s="2774"/>
      <c r="L16" s="2774"/>
      <c r="M16" s="2774"/>
      <c r="N16" s="2774"/>
      <c r="O16" s="2775"/>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379"/>
      <c r="B17" s="2938" t="s">
        <v>2871</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70"/>
      <c r="R17" s="1370"/>
      <c r="S17" s="1370"/>
      <c r="T17" s="1370"/>
      <c r="U17" s="1370"/>
      <c r="V17" s="1370"/>
      <c r="W17" s="1370"/>
      <c r="X17" s="1370"/>
      <c r="Y17" s="1370"/>
      <c r="Z17" s="1371"/>
      <c r="AE17" s="2778"/>
      <c r="AF17" s="2778"/>
      <c r="AG17" s="2715"/>
      <c r="AH17" s="2715"/>
      <c r="AI17" s="2715"/>
      <c r="AJ17" s="2715"/>
    </row>
    <row r="18" spans="1:37" s="2733" customFormat="1" ht="15" thickBot="1">
      <c r="A18" s="2932" t="s">
        <v>808</v>
      </c>
      <c r="B18" s="2933" t="s">
        <v>2874</v>
      </c>
      <c r="C18" s="2934">
        <f>SUMIF(修正!C18:C39,E3,修正!E18:E39)</f>
        <v>0</v>
      </c>
      <c r="D18" s="2935"/>
      <c r="E18" s="2936"/>
      <c r="F18" s="2936"/>
      <c r="G18" s="2936"/>
      <c r="H18" s="2936"/>
      <c r="I18" s="2936"/>
      <c r="J18" s="2937"/>
      <c r="K18" s="1377"/>
      <c r="O18" s="1375"/>
      <c r="P18" s="1375"/>
      <c r="Q18" s="1376"/>
      <c r="R18" s="1376"/>
      <c r="S18" s="1376"/>
      <c r="T18" s="1371"/>
      <c r="U18" s="1371"/>
      <c r="V18" s="1371"/>
      <c r="W18" s="1370"/>
      <c r="X18" s="1370"/>
      <c r="Y18" s="1370"/>
      <c r="Z18" s="1377"/>
      <c r="AA18" s="1378"/>
      <c r="AB18" s="1378"/>
      <c r="AC18" s="1378"/>
      <c r="AD18" s="1378"/>
      <c r="AE18" s="1372"/>
      <c r="AF18" s="1372"/>
      <c r="AG18" s="2783"/>
      <c r="AH18" s="2783"/>
      <c r="AI18" s="2783"/>
    </row>
    <row r="19" spans="1:37" s="2733" customFormat="1" ht="29.4" thickBot="1">
      <c r="A19" s="2779" t="s">
        <v>809</v>
      </c>
      <c r="B19" s="2780" t="s">
        <v>2875</v>
      </c>
      <c r="C19" s="924" t="e">
        <f>ROUND(IF(H19="按公示增长率计算",SUMPRODUCT((地价!A3:A27=YEAR(G19)&amp;"-"&amp;ROUNDUP(MONTH(G19)/3,0))*(地价!X2:AB2=E2)*(地价!X3:AB27)),IF(H19="地价指数",M20/M19,(1+I19)^O19)),4)</f>
        <v>#VALUE!</v>
      </c>
      <c r="D19" s="2784" t="s">
        <v>2876</v>
      </c>
      <c r="E19" s="925">
        <v>41640</v>
      </c>
      <c r="F19" s="2784" t="s">
        <v>2877</v>
      </c>
      <c r="G19" s="926">
        <f>'数据-取费表'!B2</f>
        <v>43724</v>
      </c>
      <c r="H19" s="2785"/>
      <c r="I19" s="927" t="str">
        <f>IF(H19="季度增幅（自定义）",SUMIF(N21:N24,E2,O21:O24),"")</f>
        <v/>
      </c>
      <c r="J19" s="2782"/>
      <c r="K19" s="1377"/>
      <c r="L19" s="2786" t="s">
        <v>2878</v>
      </c>
      <c r="M19" s="1734">
        <f>ROUND(SUMIF(地价!B2:F2,E2,地价!B27:F27),0)</f>
        <v>0</v>
      </c>
      <c r="N19" s="2787" t="s">
        <v>2879</v>
      </c>
      <c r="O19" s="928">
        <f>ROUNDDOWN(DATEDIF(E19,G19,"M")/3,0)</f>
        <v>22</v>
      </c>
      <c r="P19" s="1374"/>
      <c r="Q19" s="1376"/>
      <c r="R19" s="1376"/>
      <c r="S19" s="1376"/>
      <c r="T19" s="1371"/>
      <c r="U19" s="1371"/>
      <c r="V19" s="1371"/>
      <c r="W19" s="1370"/>
      <c r="X19" s="1370"/>
      <c r="Y19" s="1370"/>
      <c r="Z19" s="1377"/>
      <c r="AA19" s="1378"/>
      <c r="AB19" s="1378"/>
      <c r="AC19" s="1378"/>
      <c r="AD19" s="1378"/>
      <c r="AE19" s="1378"/>
      <c r="AF19" s="2788"/>
      <c r="AG19" s="2789"/>
      <c r="AH19" s="2783"/>
      <c r="AI19" s="2790"/>
      <c r="AJ19" s="2790"/>
      <c r="AK19" s="2790"/>
    </row>
    <row r="20" spans="1:37" s="2733" customFormat="1" ht="29.4" thickBot="1">
      <c r="A20" s="2791" t="s">
        <v>810</v>
      </c>
      <c r="B20" s="2792" t="s">
        <v>2880</v>
      </c>
      <c r="C20" s="929" t="e">
        <f>ROUND(POWER(1+G20,J20-I20)*(POWER(1+G20,I20)-1)/(POWER(1+G20,J20)-1),4)</f>
        <v>#DIV/0!</v>
      </c>
      <c r="D20" s="2793" t="s">
        <v>2881</v>
      </c>
      <c r="E20" s="1768">
        <f ca="1">存贷款利率!D4/100</f>
        <v>4.3499999999999997E-2</v>
      </c>
      <c r="F20" s="2793" t="s">
        <v>2873</v>
      </c>
      <c r="G20" s="934">
        <f>SUMIF(M26:P26,E2,M28:P28)</f>
        <v>0</v>
      </c>
      <c r="H20" s="2793" t="s">
        <v>2882</v>
      </c>
      <c r="I20" s="935" t="e">
        <f>SUMIF('数据-取费表'!C6:C15,E2,'数据-取费表'!F6:F15)/COUNTIF('数据-取费表'!C6:C15,E2)</f>
        <v>#DIV/0!</v>
      </c>
      <c r="J20" s="936">
        <f>IF(E2="住宅",70,IF(E2="商业",40,50))</f>
        <v>50</v>
      </c>
      <c r="K20" s="1377"/>
      <c r="L20" s="2794" t="s">
        <v>2883</v>
      </c>
      <c r="M20" s="1735">
        <f>ROUND(SUMPRODUCT((地价!A4:A27=YEAR(G19)&amp;"-"&amp;ROUNDUP(MONTH(G19)/3,0))*(地价!B2:F2=E2)*(地价!B4:F27)),0)</f>
        <v>0</v>
      </c>
      <c r="N20" s="2795" t="s">
        <v>2884</v>
      </c>
      <c r="O20" s="2796" t="s">
        <v>2885</v>
      </c>
      <c r="P20" s="2797" t="s">
        <v>2886</v>
      </c>
      <c r="R20" s="1376"/>
      <c r="S20" s="1376"/>
      <c r="T20" s="1371"/>
      <c r="U20" s="1371"/>
      <c r="V20" s="1371"/>
      <c r="W20" s="1370"/>
      <c r="X20" s="1370"/>
      <c r="Y20" s="1370"/>
      <c r="Z20" s="1377"/>
      <c r="AA20" s="1378"/>
      <c r="AB20" s="1378"/>
      <c r="AC20" s="1378"/>
      <c r="AD20" s="1378"/>
      <c r="AE20" s="1378"/>
      <c r="AF20" s="1378"/>
    </row>
    <row r="21" spans="1:37" s="2733" customFormat="1" ht="14.4">
      <c r="A21" s="2798" t="s">
        <v>811</v>
      </c>
      <c r="B21" s="2799" t="s">
        <v>2887</v>
      </c>
      <c r="C21" s="937">
        <f>IF(B21="容积率修正",IF(G3&lt;=10,D22,J22),C23)</f>
        <v>0</v>
      </c>
      <c r="D21" s="2800"/>
      <c r="E21" s="2800"/>
      <c r="F21" s="2800"/>
      <c r="G21" s="2800"/>
      <c r="H21" s="2800"/>
      <c r="I21" s="2800"/>
      <c r="J21" s="2801"/>
      <c r="K21" s="1377"/>
      <c r="N21" s="2802" t="s">
        <v>2888</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3" customFormat="1" ht="14.4">
      <c r="A22" s="2659" t="s">
        <v>2889</v>
      </c>
      <c r="B22" s="2803" t="s">
        <v>2890</v>
      </c>
      <c r="C22" s="1810" t="s">
        <v>2891</v>
      </c>
      <c r="D22" s="1810">
        <f>IF(E22=G22,F22,IF(G3&lt;=10,ROUND(F22+(H22-F22)*(G3-E22)/(G22-E22),4),"——"))</f>
        <v>0</v>
      </c>
      <c r="E22" s="916">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2" t="s">
        <v>2892</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59" t="s">
        <v>2893</v>
      </c>
      <c r="B23" s="2804" t="s">
        <v>2894</v>
      </c>
      <c r="C23" s="1013">
        <f>ROUND(IF(G3&gt;1,IF(I3&lt;7,SUMPRODUCT((B93:B98=I3)*(C92:N92=G2)*(C93:N98)),SUMIF(C92:N92,G2,C100:N100)),IF(I3&lt;7,SUMPRODUCT((B102:B107=I3)*(C92:N92=G2)*(C102:N107)),SUMIF(C92:N92,G2,C109:N109))),4)</f>
        <v>0</v>
      </c>
      <c r="D23" s="2768"/>
      <c r="E23" s="2768"/>
      <c r="F23" s="2805"/>
      <c r="G23" s="2806"/>
      <c r="H23" s="2807"/>
      <c r="I23" s="2808"/>
      <c r="J23" s="2809"/>
      <c r="K23" s="1370"/>
      <c r="N23" s="2802" t="s">
        <v>2895</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3"/>
    </row>
    <row r="24" spans="1:37" s="2733" customFormat="1" ht="15" thickBot="1">
      <c r="A24" s="2791" t="s">
        <v>812</v>
      </c>
      <c r="B24" s="2780" t="s">
        <v>2896</v>
      </c>
      <c r="C24" s="924">
        <f>SUMIF(A45:A88,E2,B45:B88)</f>
        <v>0</v>
      </c>
      <c r="D24" s="2781"/>
      <c r="E24" s="2810"/>
      <c r="F24" s="2810"/>
      <c r="G24" s="2810"/>
      <c r="H24" s="2810"/>
      <c r="I24" s="2810"/>
      <c r="J24" s="2811"/>
      <c r="K24" s="1377"/>
      <c r="N24" s="2812" t="s">
        <v>2897</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1" t="s">
        <v>813</v>
      </c>
      <c r="B25" s="2813" t="s">
        <v>2898</v>
      </c>
      <c r="C25" s="930"/>
      <c r="D25" s="2743"/>
      <c r="E25" s="2743"/>
      <c r="F25" s="2814"/>
      <c r="G25" s="2743"/>
      <c r="H25" s="2743"/>
      <c r="I25" s="2743"/>
      <c r="J25" s="2744"/>
      <c r="K25" s="1370"/>
      <c r="N25" s="2815" t="s">
        <v>2899</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16"/>
      <c r="B26" s="2803" t="s">
        <v>2900</v>
      </c>
      <c r="C26" s="206" t="e">
        <f>E29+SUM(E33:E39)</f>
        <v>#DIV/0!</v>
      </c>
      <c r="D26" s="2817"/>
      <c r="E26" s="2768"/>
      <c r="F26" s="2818"/>
      <c r="G26" s="2768"/>
      <c r="H26" s="2768"/>
      <c r="I26" s="2768"/>
      <c r="J26" s="2819"/>
      <c r="K26" s="1370"/>
      <c r="L26" s="2772" t="s">
        <v>2798</v>
      </c>
      <c r="M26" s="920" t="s">
        <v>2863</v>
      </c>
      <c r="N26" s="920" t="s">
        <v>2864</v>
      </c>
      <c r="O26" s="920" t="s">
        <v>2865</v>
      </c>
      <c r="P26" s="2773" t="s">
        <v>2866</v>
      </c>
      <c r="R26" s="1376"/>
      <c r="S26" s="1376"/>
      <c r="T26" s="1371"/>
      <c r="U26" s="1371"/>
      <c r="V26" s="1371"/>
      <c r="W26" s="1370"/>
      <c r="X26" s="1370"/>
      <c r="Y26" s="1370"/>
      <c r="Z26" s="1377"/>
      <c r="AA26" s="1378"/>
      <c r="AB26" s="1378"/>
      <c r="AC26" s="1378"/>
      <c r="AD26" s="1378"/>
    </row>
    <row r="27" spans="1:37" ht="15" thickBot="1">
      <c r="A27" s="2816"/>
      <c r="B27" s="2820" t="s">
        <v>2901</v>
      </c>
      <c r="C27" s="931" t="e">
        <f>E30+SUM(I33:I39)</f>
        <v>#DIV/0!</v>
      </c>
      <c r="D27" s="2821"/>
      <c r="E27" s="2822"/>
      <c r="F27" s="2823"/>
      <c r="G27" s="2822"/>
      <c r="H27" s="2822"/>
      <c r="I27" s="2822"/>
      <c r="J27" s="2824"/>
      <c r="K27" s="1370"/>
      <c r="L27" s="2776"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5"/>
      <c r="B28" s="2826" t="s">
        <v>2902</v>
      </c>
      <c r="C28" s="2827" t="s">
        <v>2903</v>
      </c>
      <c r="D28" s="2827" t="s">
        <v>2904</v>
      </c>
      <c r="E28" s="2828" t="s">
        <v>2905</v>
      </c>
      <c r="F28" s="2829"/>
      <c r="G28" s="2756"/>
      <c r="H28" s="2756"/>
      <c r="I28" s="2756"/>
      <c r="J28" s="2757"/>
      <c r="K28" s="1370"/>
      <c r="L28" s="2777"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0"/>
      <c r="B29" s="2831" t="s">
        <v>2906</v>
      </c>
      <c r="C29" s="206" t="e">
        <f>ROUND(C5*C18*C19*C20*C21*C24,0)</f>
        <v>#DIV/0!</v>
      </c>
      <c r="D29" s="2832"/>
      <c r="E29" s="942" t="e">
        <f>ROUND(C29*D29/10000,0)</f>
        <v>#DIV/0!</v>
      </c>
      <c r="F29" s="2833" t="s">
        <v>2907</v>
      </c>
      <c r="G29" s="2834"/>
      <c r="H29" s="2834"/>
      <c r="I29" s="2834"/>
      <c r="J29" s="2835"/>
      <c r="K29" s="1370"/>
      <c r="L29" s="1370"/>
      <c r="M29" s="1370"/>
      <c r="N29" s="1370"/>
      <c r="O29" s="1375"/>
      <c r="P29" s="1375"/>
      <c r="Q29" s="1376"/>
      <c r="R29" s="1376"/>
      <c r="S29" s="1376"/>
      <c r="T29" s="1371"/>
      <c r="U29" s="1371"/>
      <c r="V29" s="1371"/>
      <c r="W29" s="1370"/>
      <c r="X29" s="1370"/>
      <c r="Y29" s="1370"/>
      <c r="Z29" s="1377"/>
      <c r="AA29" s="1378"/>
      <c r="AB29" s="1378"/>
      <c r="AC29" s="1378"/>
      <c r="AD29" s="1378"/>
      <c r="AE29" s="2778"/>
      <c r="AF29" s="2778"/>
      <c r="AG29" s="2715"/>
      <c r="AH29" s="2715"/>
      <c r="AI29" s="2715"/>
      <c r="AJ29" s="2715"/>
    </row>
    <row r="30" spans="1:37" ht="25.8" thickBot="1">
      <c r="A30" s="2836"/>
      <c r="B30" s="2837" t="s">
        <v>2908</v>
      </c>
      <c r="C30" s="229" t="e">
        <f>ROUND(IF(E2="工业",C29*M39,C29*M38),0)</f>
        <v>#DIV/0!</v>
      </c>
      <c r="D30" s="2838"/>
      <c r="E30" s="942" t="e">
        <f>ROUND(C30*D30/10000,0)</f>
        <v>#DIV/0!</v>
      </c>
      <c r="F30" s="2839" t="s">
        <v>2909</v>
      </c>
      <c r="G30" s="2840"/>
      <c r="H30" s="2840"/>
      <c r="I30" s="2840"/>
      <c r="J30" s="2841"/>
      <c r="K30" s="1370"/>
      <c r="L30" s="1370"/>
      <c r="M30" s="1370"/>
      <c r="N30" s="1370"/>
      <c r="O30" s="1375"/>
      <c r="P30" s="1375"/>
      <c r="Q30" s="1376"/>
      <c r="R30" s="1376"/>
      <c r="S30" s="1376"/>
      <c r="T30" s="1371"/>
      <c r="U30" s="1371"/>
      <c r="V30" s="1371"/>
      <c r="W30" s="1370"/>
      <c r="X30" s="1370"/>
      <c r="Y30" s="1370"/>
      <c r="Z30" s="1377"/>
      <c r="AA30" s="1378"/>
      <c r="AB30" s="1378"/>
      <c r="AC30" s="1378"/>
      <c r="AD30" s="1378"/>
      <c r="AE30" s="2778"/>
      <c r="AF30" s="2778"/>
      <c r="AG30" s="2715"/>
      <c r="AH30" s="2715"/>
      <c r="AI30" s="2715"/>
      <c r="AJ30" s="2715"/>
    </row>
    <row r="31" spans="1:37" ht="13.8">
      <c r="A31" s="2842"/>
      <c r="B31" s="2843" t="s">
        <v>2910</v>
      </c>
      <c r="C31" s="2844" t="s">
        <v>2911</v>
      </c>
      <c r="D31" s="2756"/>
      <c r="E31" s="2844"/>
      <c r="F31" s="2844"/>
      <c r="G31" s="2754" t="s">
        <v>2912</v>
      </c>
      <c r="H31" s="2756"/>
      <c r="I31" s="2845"/>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78"/>
      <c r="AF31" s="2778"/>
      <c r="AG31" s="2715"/>
      <c r="AH31" s="2715"/>
      <c r="AI31" s="2715"/>
      <c r="AJ31" s="2715"/>
    </row>
    <row r="32" spans="1:37" ht="36">
      <c r="A32" s="2830"/>
      <c r="B32" s="2846"/>
      <c r="C32" s="501" t="s">
        <v>2903</v>
      </c>
      <c r="D32" s="498" t="s">
        <v>2904</v>
      </c>
      <c r="E32" s="498" t="s">
        <v>2905</v>
      </c>
      <c r="F32" s="388" t="s">
        <v>2913</v>
      </c>
      <c r="G32" s="2847" t="s">
        <v>2903</v>
      </c>
      <c r="H32" s="2847" t="s">
        <v>2904</v>
      </c>
      <c r="I32" s="2847"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8"/>
      <c r="AF32" s="2778"/>
      <c r="AG32" s="2715"/>
      <c r="AH32" s="2715"/>
      <c r="AI32" s="2715"/>
      <c r="AJ32" s="2715"/>
    </row>
    <row r="33" spans="1:37" ht="36" customHeight="1">
      <c r="A33" s="3386" t="s">
        <v>2914</v>
      </c>
      <c r="B33" s="2848" t="s">
        <v>2915</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87"/>
      <c r="B34" s="2760" t="s">
        <v>2916</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7"/>
      <c r="B35" s="2760" t="s">
        <v>2917</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70"/>
      <c r="L35" s="1370"/>
      <c r="M35" s="1370"/>
      <c r="N35" s="1370"/>
      <c r="O35" s="1370"/>
      <c r="P35" s="1370"/>
      <c r="Q35" s="1370"/>
      <c r="R35" s="1370"/>
      <c r="S35" s="1370"/>
      <c r="T35" s="1370"/>
      <c r="U35" s="1370"/>
      <c r="V35" s="1370"/>
      <c r="W35" s="1370"/>
      <c r="X35" s="1370"/>
      <c r="Y35" s="1370"/>
      <c r="Z35" s="1371"/>
    </row>
    <row r="36" spans="1:37" ht="13.8" thickBot="1">
      <c r="A36" s="3388"/>
      <c r="B36" s="2760" t="s">
        <v>2918</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70"/>
      <c r="L36" s="2714"/>
      <c r="M36" s="2714"/>
      <c r="N36" s="1370"/>
      <c r="O36" s="1370"/>
      <c r="P36" s="1370"/>
      <c r="Q36" s="1370"/>
      <c r="R36" s="1370"/>
      <c r="S36" s="1370"/>
      <c r="T36" s="1370"/>
      <c r="U36" s="1370"/>
      <c r="V36" s="1370"/>
      <c r="W36" s="1370"/>
      <c r="X36" s="1370"/>
      <c r="Y36" s="1370"/>
      <c r="Z36" s="1371"/>
    </row>
    <row r="37" spans="1:37">
      <c r="A37" s="2850"/>
      <c r="B37" s="2760" t="s">
        <v>2919</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70"/>
      <c r="L37" s="2851" t="s">
        <v>2920</v>
      </c>
      <c r="M37" s="2852"/>
      <c r="N37" s="1370"/>
      <c r="O37" s="1370"/>
      <c r="P37" s="1370"/>
      <c r="Q37" s="1370"/>
      <c r="R37" s="1370"/>
      <c r="S37" s="1370"/>
      <c r="T37" s="1370"/>
      <c r="U37" s="1370"/>
      <c r="V37" s="1370"/>
      <c r="W37" s="1370"/>
      <c r="X37" s="1370"/>
      <c r="Y37" s="1370"/>
      <c r="Z37" s="1371"/>
    </row>
    <row r="38" spans="1:37">
      <c r="A38" s="2850"/>
      <c r="B38" s="2760" t="s">
        <v>2921</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70"/>
      <c r="L38" s="1887" t="s">
        <v>2922</v>
      </c>
      <c r="M38" s="2853">
        <v>0.25</v>
      </c>
      <c r="N38" s="1370"/>
      <c r="O38" s="1370"/>
      <c r="P38" s="1370"/>
      <c r="Q38" s="1370"/>
      <c r="R38" s="1370"/>
      <c r="S38" s="1370"/>
      <c r="T38" s="1370"/>
      <c r="U38" s="1370"/>
      <c r="V38" s="1370"/>
      <c r="W38" s="1370"/>
      <c r="X38" s="1370"/>
      <c r="Y38" s="1370"/>
      <c r="Z38" s="1371"/>
    </row>
    <row r="39" spans="1:37" ht="13.8" thickBot="1">
      <c r="A39" s="2836"/>
      <c r="B39" s="2854" t="s">
        <v>2923</v>
      </c>
      <c r="C39" s="229" t="e">
        <f>ROUND(D5*C19*C41*C24*F39,0)</f>
        <v>#DIV/0!</v>
      </c>
      <c r="D39" s="2838"/>
      <c r="E39" s="229" t="e">
        <f t="shared" si="7"/>
        <v>#DIV/0!</v>
      </c>
      <c r="F39" s="932">
        <f>SUMIF(修正!A45:A56,G2,修正!H45:H56)</f>
        <v>0</v>
      </c>
      <c r="G39" s="229" t="e">
        <f>ROUND(IF(E2="工业",C39*$M$39,C39*$M$38),0)</f>
        <v>#DIV/0!</v>
      </c>
      <c r="H39" s="229">
        <f t="shared" si="8"/>
        <v>0</v>
      </c>
      <c r="I39" s="229" t="e">
        <f t="shared" si="9"/>
        <v>#DIV/0!</v>
      </c>
      <c r="J39" s="2855"/>
      <c r="K39" s="1370"/>
      <c r="L39" s="2856" t="s">
        <v>2866</v>
      </c>
      <c r="M39" s="285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5" t="s">
        <v>3034</v>
      </c>
      <c r="C41" s="388" t="e">
        <f>ROUND(POWER(1+E41,H41-G41)*(POWER(1+E41,G41)-1)/(POWER(1+E41,H41)-1),4)</f>
        <v>#DIV/0!</v>
      </c>
      <c r="D41" s="200" t="s">
        <v>2873</v>
      </c>
      <c r="E41" s="2924">
        <f>G20</f>
        <v>0</v>
      </c>
      <c r="F41" s="200" t="s">
        <v>2882</v>
      </c>
      <c r="G41" s="218"/>
      <c r="H41" s="200">
        <v>50</v>
      </c>
      <c r="Z41" s="1371"/>
      <c r="AA41" s="1371"/>
      <c r="AB41" s="1371"/>
      <c r="AC41" s="1371"/>
      <c r="AD41" s="1371"/>
      <c r="AE41" s="1371"/>
      <c r="AF41" s="1371"/>
      <c r="AG41" s="1371"/>
      <c r="AH41" s="1371"/>
      <c r="AI41" s="1371"/>
      <c r="AJ41" s="1371"/>
    </row>
    <row r="42" spans="1:37" s="1370" customFormat="1">
      <c r="A42" s="1371"/>
      <c r="B42" s="2858"/>
      <c r="Z42" s="1371"/>
      <c r="AA42" s="1371"/>
      <c r="AB42" s="1371"/>
      <c r="AC42" s="1371"/>
      <c r="AD42" s="1371"/>
      <c r="AE42" s="1371"/>
      <c r="AF42" s="1371"/>
      <c r="AG42" s="1371"/>
      <c r="AH42" s="1371"/>
      <c r="AI42" s="1371"/>
      <c r="AJ42" s="1371"/>
    </row>
    <row r="43" spans="1:37" s="1370" customFormat="1">
      <c r="A43" s="1371"/>
      <c r="B43" s="2858"/>
      <c r="Z43" s="1371"/>
      <c r="AA43" s="1371"/>
      <c r="AB43" s="1371"/>
      <c r="AC43" s="1371"/>
      <c r="AD43" s="1371"/>
      <c r="AE43" s="1371"/>
      <c r="AF43" s="1371"/>
      <c r="AG43" s="1371"/>
      <c r="AH43" s="1371"/>
      <c r="AI43" s="1371"/>
      <c r="AJ43" s="1371"/>
    </row>
    <row r="44" spans="1:37" s="1370" customFormat="1">
      <c r="A44" s="1371"/>
      <c r="B44" s="2858"/>
      <c r="Z44" s="1371"/>
      <c r="AA44" s="1371"/>
      <c r="AB44" s="1371"/>
      <c r="AC44" s="1371"/>
      <c r="AD44" s="1371"/>
      <c r="AE44" s="1371"/>
      <c r="AF44" s="1371"/>
      <c r="AG44" s="1371"/>
      <c r="AH44" s="1371"/>
      <c r="AI44" s="1371"/>
      <c r="AJ44" s="1371"/>
    </row>
    <row r="45" spans="1:37" s="1370" customFormat="1" ht="15" thickBot="1">
      <c r="A45" s="2859" t="s">
        <v>2924</v>
      </c>
      <c r="B45" s="2860"/>
      <c r="C45" s="7"/>
      <c r="D45" s="7"/>
      <c r="E45" s="7"/>
      <c r="F45" s="6"/>
      <c r="G45" s="6"/>
      <c r="H45" s="6"/>
      <c r="I45" s="7"/>
      <c r="J45" s="7"/>
      <c r="K45" s="7"/>
      <c r="L45" s="7"/>
      <c r="M45" s="7"/>
      <c r="N45" s="2778"/>
      <c r="Z45" s="1371"/>
      <c r="AA45" s="1371"/>
      <c r="AB45" s="1371"/>
      <c r="AC45" s="1371"/>
      <c r="AD45" s="1371"/>
      <c r="AE45" s="1371"/>
      <c r="AF45" s="1371"/>
      <c r="AG45" s="1371"/>
      <c r="AH45" s="1371"/>
      <c r="AI45" s="1371"/>
      <c r="AJ45" s="1371"/>
    </row>
    <row r="46" spans="1:37" s="1370" customFormat="1" ht="14.4">
      <c r="A46" s="2861" t="s">
        <v>2925</v>
      </c>
      <c r="B46" s="2862">
        <f>1+E48</f>
        <v>1</v>
      </c>
      <c r="C46" s="2863"/>
      <c r="D46" s="814"/>
      <c r="E46" s="815"/>
      <c r="F46" s="2864"/>
      <c r="G46" s="6"/>
      <c r="H46" s="7"/>
      <c r="I46" s="7"/>
      <c r="J46" s="7"/>
      <c r="K46" s="7"/>
      <c r="L46" s="7"/>
      <c r="M46" s="7"/>
      <c r="N46" s="2778"/>
      <c r="Z46" s="1371"/>
      <c r="AA46" s="1371"/>
      <c r="AB46" s="1371"/>
      <c r="AC46" s="1371"/>
      <c r="AD46" s="1371"/>
      <c r="AE46" s="1371"/>
      <c r="AF46" s="1371"/>
      <c r="AG46" s="1371"/>
      <c r="AH46" s="1371"/>
      <c r="AI46" s="1371"/>
      <c r="AJ46" s="1371"/>
    </row>
    <row r="47" spans="1:37" s="1370" customFormat="1" ht="25.2">
      <c r="A47" s="2865" t="s">
        <v>2926</v>
      </c>
      <c r="B47" s="1809" t="s">
        <v>2927</v>
      </c>
      <c r="C47" s="1809" t="s">
        <v>2928</v>
      </c>
      <c r="D47" s="1809" t="s">
        <v>2929</v>
      </c>
      <c r="E47" s="819" t="s">
        <v>2930</v>
      </c>
      <c r="F47" s="2866" t="s">
        <v>2931</v>
      </c>
      <c r="G47" s="1809" t="s">
        <v>754</v>
      </c>
      <c r="H47" s="2867" t="s">
        <v>2932</v>
      </c>
      <c r="I47" s="1809" t="s">
        <v>2933</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5.2">
      <c r="A48" s="2865" t="s">
        <v>2934</v>
      </c>
      <c r="B48" s="2868" t="str">
        <f>估价对象房地状况!C4</f>
        <v>一般</v>
      </c>
      <c r="C48" s="2765"/>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65" t="s">
        <v>2935</v>
      </c>
      <c r="B49" s="2869" t="str">
        <f>估价对象房地状况!C18</f>
        <v>一般</v>
      </c>
      <c r="C49" s="2765"/>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5" t="s">
        <v>2936</v>
      </c>
      <c r="B50" s="2869" t="str">
        <f>估价对象房地状况!C19</f>
        <v>较好</v>
      </c>
      <c r="C50" s="2765"/>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5" t="s">
        <v>2937</v>
      </c>
      <c r="B51" s="2870" t="s">
        <v>2938</v>
      </c>
      <c r="C51" s="2765"/>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5" t="s">
        <v>2939</v>
      </c>
      <c r="B52" s="2869" t="str">
        <f>估价对象房地状况!C24</f>
        <v>支路</v>
      </c>
      <c r="C52" s="2765"/>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5" t="s">
        <v>2940</v>
      </c>
      <c r="B53" s="2871" t="s">
        <v>2941</v>
      </c>
      <c r="C53" s="2765"/>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2" t="s">
        <v>2942</v>
      </c>
      <c r="B54" s="1725" t="str">
        <f>估价对象房地状况!C21</f>
        <v>一般</v>
      </c>
      <c r="C54" s="2765"/>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2" t="s">
        <v>2943</v>
      </c>
      <c r="B55" s="2869" t="str">
        <f>估价对象房地状况!C22</f>
        <v>六通</v>
      </c>
      <c r="C55" s="2765"/>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3" t="s">
        <v>2944</v>
      </c>
      <c r="B56" s="2874" t="str">
        <f>估价对象房地状况!C20</f>
        <v>一般</v>
      </c>
      <c r="C56" s="2765"/>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1" t="s">
        <v>2945</v>
      </c>
      <c r="B57" s="2862">
        <f>1+E59</f>
        <v>1</v>
      </c>
      <c r="C57" s="814"/>
      <c r="D57" s="814"/>
      <c r="E57" s="815"/>
      <c r="F57" s="286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5" t="s">
        <v>2926</v>
      </c>
      <c r="B58" s="1809"/>
      <c r="C58" s="1809" t="s">
        <v>2928</v>
      </c>
      <c r="D58" s="1809" t="s">
        <v>2929</v>
      </c>
      <c r="E58" s="819" t="s">
        <v>2930</v>
      </c>
      <c r="F58" s="2866" t="s">
        <v>2946</v>
      </c>
      <c r="G58" s="1809" t="s">
        <v>754</v>
      </c>
      <c r="H58" s="2867" t="s">
        <v>2932</v>
      </c>
      <c r="I58" s="1809" t="s">
        <v>2933</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5" t="s">
        <v>2947</v>
      </c>
      <c r="B59" s="2868" t="str">
        <f>估价对象房地状况!C17</f>
        <v>一般</v>
      </c>
      <c r="C59" s="2765"/>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65" t="s">
        <v>2935</v>
      </c>
      <c r="B60" s="2869" t="str">
        <f>估价对象房地状况!C18</f>
        <v>一般</v>
      </c>
      <c r="C60" s="2765"/>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5" t="s">
        <v>2936</v>
      </c>
      <c r="B61" s="2869" t="str">
        <f>估价对象房地状况!C19</f>
        <v>较好</v>
      </c>
      <c r="C61" s="2765"/>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5" t="s">
        <v>2937</v>
      </c>
      <c r="B62" s="2870" t="s">
        <v>2938</v>
      </c>
      <c r="C62" s="2765"/>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5" t="s">
        <v>2939</v>
      </c>
      <c r="B63" s="2869" t="str">
        <f>估价对象房地状况!C24</f>
        <v>支路</v>
      </c>
      <c r="C63" s="2765"/>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5" t="s">
        <v>2940</v>
      </c>
      <c r="B64" s="2871" t="s">
        <v>2941</v>
      </c>
      <c r="C64" s="2765"/>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5" t="s">
        <v>2942</v>
      </c>
      <c r="B65" s="1725" t="str">
        <f>估价对象房地状况!C21</f>
        <v>一般</v>
      </c>
      <c r="C65" s="2765"/>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5" t="s">
        <v>2943</v>
      </c>
      <c r="B66" s="1725" t="str">
        <f>估价对象房地状况!C22</f>
        <v>六通</v>
      </c>
      <c r="C66" s="2765"/>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3" t="s">
        <v>2944</v>
      </c>
      <c r="B67" s="2875" t="str">
        <f>估价对象房地状况!C20</f>
        <v>一般</v>
      </c>
      <c r="C67" s="2765"/>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1" t="s">
        <v>2948</v>
      </c>
      <c r="B68" s="2862">
        <f>1+E70</f>
        <v>1</v>
      </c>
      <c r="C68" s="814"/>
      <c r="D68" s="814"/>
      <c r="E68" s="815"/>
      <c r="F68" s="286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5" t="s">
        <v>2926</v>
      </c>
      <c r="B69" s="1809"/>
      <c r="C69" s="1809" t="s">
        <v>2928</v>
      </c>
      <c r="D69" s="1809" t="s">
        <v>2929</v>
      </c>
      <c r="E69" s="819" t="s">
        <v>2930</v>
      </c>
      <c r="F69" s="2866" t="s">
        <v>2946</v>
      </c>
      <c r="G69" s="1809" t="s">
        <v>754</v>
      </c>
      <c r="H69" s="2867" t="s">
        <v>2932</v>
      </c>
      <c r="I69" s="1809" t="s">
        <v>2933</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5" t="s">
        <v>2949</v>
      </c>
      <c r="B70" s="2868" t="str">
        <f>估价对象房地状况!C15</f>
        <v>一般</v>
      </c>
      <c r="C70" s="2765"/>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65" t="s">
        <v>2935</v>
      </c>
      <c r="B71" s="2869" t="str">
        <f>估价对象房地状况!C18</f>
        <v>一般</v>
      </c>
      <c r="C71" s="2765"/>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5" t="s">
        <v>2936</v>
      </c>
      <c r="B72" s="2869" t="str">
        <f>估价对象房地状况!C19</f>
        <v>较好</v>
      </c>
      <c r="C72" s="2765"/>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5" t="s">
        <v>2950</v>
      </c>
      <c r="B73" s="2869" t="str">
        <f>估价对象房地状况!C24</f>
        <v>支路</v>
      </c>
      <c r="C73" s="2765"/>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5" t="s">
        <v>2942</v>
      </c>
      <c r="B74" s="1725" t="str">
        <f>估价对象房地状况!C21</f>
        <v>一般</v>
      </c>
      <c r="C74" s="2765"/>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5" t="s">
        <v>2943</v>
      </c>
      <c r="B75" s="1725" t="str">
        <f>估价对象房地状况!C22</f>
        <v>六通</v>
      </c>
      <c r="C75" s="2765"/>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36">
      <c r="A76" s="2865" t="s">
        <v>2940</v>
      </c>
      <c r="B76" s="2871" t="s">
        <v>2941</v>
      </c>
      <c r="C76" s="2765"/>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6"/>
      <c r="AB76" s="1371"/>
      <c r="AC76" s="1371"/>
      <c r="AD76" s="1371"/>
      <c r="AE76" s="1371"/>
      <c r="AF76" s="1371"/>
      <c r="AG76" s="1371"/>
      <c r="AH76" s="2876"/>
      <c r="AI76" s="2876"/>
      <c r="AJ76" s="2876"/>
      <c r="AK76" s="2876"/>
    </row>
    <row r="77" spans="1:37" ht="36">
      <c r="A77" s="2865" t="s">
        <v>2944</v>
      </c>
      <c r="B77" s="2868" t="str">
        <f>估价对象房地状况!C20</f>
        <v>一般</v>
      </c>
      <c r="C77" s="2765"/>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5"/>
      <c r="AA77" s="2783"/>
      <c r="AG77" s="1372"/>
      <c r="AK77" s="2783"/>
    </row>
    <row r="78" spans="1:37" ht="36.6" thickBot="1">
      <c r="A78" s="2873" t="s">
        <v>2951</v>
      </c>
      <c r="B78" s="2877"/>
      <c r="C78" s="2765"/>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5"/>
      <c r="AA78" s="2783"/>
      <c r="AG78" s="1372"/>
      <c r="AK78" s="2783"/>
    </row>
    <row r="79" spans="1:37" ht="14.4">
      <c r="A79" s="2861" t="s">
        <v>2952</v>
      </c>
      <c r="B79" s="2862">
        <f>1+E81</f>
        <v>1</v>
      </c>
      <c r="C79" s="814"/>
      <c r="D79" s="814"/>
      <c r="E79" s="815"/>
      <c r="F79" s="2864"/>
      <c r="G79" s="6"/>
      <c r="H79" s="6"/>
      <c r="I79" s="6"/>
      <c r="J79" s="7"/>
      <c r="K79" s="7"/>
      <c r="L79" s="7"/>
      <c r="M79" s="7"/>
      <c r="N79" s="7"/>
      <c r="Z79" s="2715"/>
      <c r="AA79" s="2783"/>
      <c r="AG79" s="1372"/>
      <c r="AK79" s="2783"/>
    </row>
    <row r="80" spans="1:37" ht="25.2">
      <c r="A80" s="2865" t="s">
        <v>2926</v>
      </c>
      <c r="B80" s="1809"/>
      <c r="C80" s="1809" t="s">
        <v>2928</v>
      </c>
      <c r="D80" s="1809" t="s">
        <v>2929</v>
      </c>
      <c r="E80" s="819" t="s">
        <v>2930</v>
      </c>
      <c r="F80" s="2866" t="s">
        <v>2946</v>
      </c>
      <c r="G80" s="1809" t="s">
        <v>754</v>
      </c>
      <c r="H80" s="2867" t="s">
        <v>2932</v>
      </c>
      <c r="I80" s="1809" t="s">
        <v>2933</v>
      </c>
      <c r="J80" s="603" t="s">
        <v>2582</v>
      </c>
      <c r="K80" s="603" t="s">
        <v>2583</v>
      </c>
      <c r="L80" s="603" t="s">
        <v>2584</v>
      </c>
      <c r="M80" s="603" t="s">
        <v>2585</v>
      </c>
      <c r="N80" s="603" t="s">
        <v>2586</v>
      </c>
      <c r="Z80" s="2715"/>
      <c r="AA80" s="2783"/>
      <c r="AG80" s="1372"/>
      <c r="AK80" s="2783"/>
    </row>
    <row r="81" spans="1:37" ht="24">
      <c r="A81" s="2865" t="s">
        <v>2953</v>
      </c>
      <c r="B81" s="2869">
        <f>估价对象房地状况!G15</f>
        <v>0</v>
      </c>
      <c r="C81" s="2765"/>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5"/>
      <c r="AA81" s="2783"/>
      <c r="AG81" s="1372"/>
      <c r="AK81" s="2783"/>
    </row>
    <row r="82" spans="1:37" ht="24">
      <c r="A82" s="2865" t="s">
        <v>2935</v>
      </c>
      <c r="B82" s="2869">
        <f>估价对象房地状况!G16</f>
        <v>0</v>
      </c>
      <c r="C82" s="2765"/>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5"/>
      <c r="AA82" s="2783"/>
      <c r="AG82" s="1372"/>
      <c r="AK82" s="2783"/>
    </row>
    <row r="83" spans="1:37" ht="24">
      <c r="A83" s="2865" t="s">
        <v>2936</v>
      </c>
      <c r="B83" s="2869">
        <f>估价对象房地状况!G17</f>
        <v>0</v>
      </c>
      <c r="C83" s="2765"/>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5"/>
      <c r="AA83" s="2783"/>
      <c r="AG83" s="1372"/>
      <c r="AK83" s="2783"/>
    </row>
    <row r="84" spans="1:37" ht="13.8">
      <c r="A84" s="2865" t="s">
        <v>2950</v>
      </c>
      <c r="B84" s="2869">
        <f>估价对象房地状况!G22</f>
        <v>0</v>
      </c>
      <c r="C84" s="2765"/>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5"/>
      <c r="AA84" s="2783"/>
      <c r="AG84" s="1372"/>
      <c r="AK84" s="2783"/>
    </row>
    <row r="85" spans="1:37" ht="24">
      <c r="A85" s="2865" t="s">
        <v>2942</v>
      </c>
      <c r="B85" s="1725">
        <f>估价对象房地状况!G19</f>
        <v>0</v>
      </c>
      <c r="C85" s="2765"/>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5"/>
      <c r="AA85" s="2783"/>
      <c r="AG85" s="1372"/>
      <c r="AK85" s="2783"/>
    </row>
    <row r="86" spans="1:37" ht="24">
      <c r="A86" s="2865" t="s">
        <v>2943</v>
      </c>
      <c r="B86" s="1725">
        <f>估价对象房地状况!G20</f>
        <v>0</v>
      </c>
      <c r="C86" s="2765"/>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5"/>
      <c r="AA86" s="2783"/>
      <c r="AG86" s="1372"/>
      <c r="AK86" s="2783"/>
    </row>
    <row r="87" spans="1:37" ht="36">
      <c r="A87" s="2865" t="s">
        <v>2940</v>
      </c>
      <c r="B87" s="2871" t="s">
        <v>2954</v>
      </c>
      <c r="C87" s="2765"/>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5"/>
      <c r="AA87" s="2783"/>
      <c r="AG87" s="1372"/>
      <c r="AK87" s="2783"/>
    </row>
    <row r="88" spans="1:37" ht="14.4" thickBot="1">
      <c r="A88" s="2873" t="s">
        <v>2955</v>
      </c>
      <c r="B88" s="2878">
        <f>估价对象房地状况!G18</f>
        <v>0</v>
      </c>
      <c r="C88" s="2765"/>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5"/>
      <c r="AA88" s="2783"/>
      <c r="AG88" s="1372"/>
      <c r="AK88" s="2783"/>
    </row>
    <row r="90" spans="1:37">
      <c r="A90" s="3380" t="s">
        <v>2956</v>
      </c>
      <c r="B90" s="3380"/>
      <c r="C90" s="3380"/>
      <c r="D90" s="3380"/>
      <c r="E90" s="3380"/>
      <c r="F90" s="3380"/>
      <c r="G90" s="3380"/>
      <c r="H90" s="3380"/>
      <c r="I90" s="3380"/>
      <c r="J90" s="3380"/>
      <c r="K90" s="2879"/>
      <c r="L90" s="2879"/>
      <c r="M90" s="2879"/>
      <c r="N90" s="2879"/>
    </row>
    <row r="91" spans="1:37">
      <c r="A91" s="3382" t="s">
        <v>2957</v>
      </c>
      <c r="B91" s="3382" t="s">
        <v>2958</v>
      </c>
      <c r="C91" s="2833" t="s">
        <v>2959</v>
      </c>
      <c r="D91" s="2834"/>
      <c r="E91" s="2834"/>
      <c r="F91" s="2834"/>
      <c r="G91" s="2834"/>
      <c r="H91" s="2834"/>
      <c r="I91" s="2834"/>
      <c r="J91" s="2880"/>
      <c r="K91" s="2881"/>
      <c r="L91" s="2881"/>
      <c r="M91" s="2881"/>
      <c r="N91" s="2881"/>
    </row>
    <row r="92" spans="1:37">
      <c r="A92" s="3382"/>
      <c r="B92" s="3382"/>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383" t="s">
        <v>2960</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84"/>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84"/>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84"/>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84"/>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84"/>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84"/>
      <c r="B99" s="2882" t="s">
        <v>2841</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85"/>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83" t="s">
        <v>2961</v>
      </c>
      <c r="B101" s="2886" t="s">
        <v>2962</v>
      </c>
      <c r="C101" s="2887">
        <f>$G$3</f>
        <v>3.35</v>
      </c>
      <c r="D101" s="2887">
        <f t="shared" ref="D101:N101" si="31">$G$3</f>
        <v>3.35</v>
      </c>
      <c r="E101" s="2887">
        <f t="shared" si="31"/>
        <v>3.35</v>
      </c>
      <c r="F101" s="2887">
        <f t="shared" si="31"/>
        <v>3.35</v>
      </c>
      <c r="G101" s="2887">
        <f t="shared" si="31"/>
        <v>3.35</v>
      </c>
      <c r="H101" s="2887">
        <f t="shared" si="31"/>
        <v>3.35</v>
      </c>
      <c r="I101" s="2887">
        <f t="shared" si="31"/>
        <v>3.35</v>
      </c>
      <c r="J101" s="2887">
        <f t="shared" si="31"/>
        <v>3.35</v>
      </c>
      <c r="K101" s="2887">
        <f t="shared" si="31"/>
        <v>3.35</v>
      </c>
      <c r="L101" s="2887">
        <f t="shared" si="31"/>
        <v>3.35</v>
      </c>
      <c r="M101" s="2887">
        <f t="shared" si="31"/>
        <v>3.35</v>
      </c>
      <c r="N101" s="2887">
        <f t="shared" si="31"/>
        <v>3.35</v>
      </c>
    </row>
    <row r="102" spans="1:14">
      <c r="A102" s="3384"/>
      <c r="B102" s="2882">
        <v>1</v>
      </c>
      <c r="C102" s="2883">
        <f>1.9362/C101</f>
        <v>0.57797014925373136</v>
      </c>
      <c r="D102" s="2883">
        <f>1.9362/D101</f>
        <v>0.57797014925373136</v>
      </c>
      <c r="E102" s="2883">
        <f>1.8629/E101</f>
        <v>0.55608955223880596</v>
      </c>
      <c r="F102" s="2883">
        <f>1.8629/F101</f>
        <v>0.55608955223880596</v>
      </c>
      <c r="G102" s="2883">
        <f>1.8629/G101</f>
        <v>0.55608955223880596</v>
      </c>
      <c r="H102" s="2883">
        <f>1.8629/H101</f>
        <v>0.55608955223880596</v>
      </c>
      <c r="I102" s="2883">
        <f>1.8629/I101</f>
        <v>0.55608955223880596</v>
      </c>
      <c r="J102" s="2883">
        <f>1.942/J101</f>
        <v>0.5797014925373134</v>
      </c>
      <c r="K102" s="2883">
        <f>1.942/K101</f>
        <v>0.5797014925373134</v>
      </c>
      <c r="L102" s="2883">
        <f>1.942/L101</f>
        <v>0.5797014925373134</v>
      </c>
      <c r="M102" s="2883">
        <f>1.942/M101</f>
        <v>0.5797014925373134</v>
      </c>
      <c r="N102" s="2883">
        <f>1.942/N101</f>
        <v>0.5797014925373134</v>
      </c>
    </row>
    <row r="103" spans="1:14">
      <c r="A103" s="3384"/>
      <c r="B103" s="2882">
        <v>2</v>
      </c>
      <c r="C103" s="2883">
        <f>1.4198/C101</f>
        <v>0.42382089552238805</v>
      </c>
      <c r="D103" s="2883">
        <f>1.4198/D101</f>
        <v>0.42382089552238805</v>
      </c>
      <c r="E103" s="2883">
        <f>1.3372/E101</f>
        <v>0.3991641791044776</v>
      </c>
      <c r="F103" s="2883">
        <f>1.3372/F101</f>
        <v>0.3991641791044776</v>
      </c>
      <c r="G103" s="2883">
        <f>1.3372/G101</f>
        <v>0.3991641791044776</v>
      </c>
      <c r="H103" s="2883">
        <f>1.3372/H101</f>
        <v>0.3991641791044776</v>
      </c>
      <c r="I103" s="2883">
        <f>1.3372/I101</f>
        <v>0.3991641791044776</v>
      </c>
      <c r="J103" s="2883">
        <f>1.2799/J101</f>
        <v>0.38205970149253732</v>
      </c>
      <c r="K103" s="2883">
        <f>1.2799/K101</f>
        <v>0.38205970149253732</v>
      </c>
      <c r="L103" s="2883">
        <f>1.2799/L101</f>
        <v>0.38205970149253732</v>
      </c>
      <c r="M103" s="2883">
        <f>1.2799/M101</f>
        <v>0.38205970149253732</v>
      </c>
      <c r="N103" s="2883">
        <f>1.2799/N101</f>
        <v>0.38205970149253732</v>
      </c>
    </row>
    <row r="104" spans="1:14">
      <c r="A104" s="3384"/>
      <c r="B104" s="2882">
        <v>3</v>
      </c>
      <c r="C104" s="2883">
        <f>1.1594/C101</f>
        <v>0.34608955223880594</v>
      </c>
      <c r="D104" s="2883">
        <f>1.1594/D101</f>
        <v>0.34608955223880594</v>
      </c>
      <c r="E104" s="2883">
        <f>1.0788/E101</f>
        <v>0.32202985074626866</v>
      </c>
      <c r="F104" s="2883">
        <f>1.0788/F101</f>
        <v>0.32202985074626866</v>
      </c>
      <c r="G104" s="2883">
        <f>1.0788/G101</f>
        <v>0.32202985074626866</v>
      </c>
      <c r="H104" s="2883">
        <f>1.0788/H101</f>
        <v>0.32202985074626866</v>
      </c>
      <c r="I104" s="2883">
        <f>1.0788/I101</f>
        <v>0.32202985074626866</v>
      </c>
      <c r="J104" s="2883">
        <f>1.0072/J101</f>
        <v>0.30065671641791047</v>
      </c>
      <c r="K104" s="2883">
        <f>1.0072/K101</f>
        <v>0.30065671641791047</v>
      </c>
      <c r="L104" s="2883">
        <f>1.0072/L101</f>
        <v>0.30065671641791047</v>
      </c>
      <c r="M104" s="2883">
        <f>1.0072/M101</f>
        <v>0.30065671641791047</v>
      </c>
      <c r="N104" s="2883">
        <f>1.0072/N101</f>
        <v>0.30065671641791047</v>
      </c>
    </row>
    <row r="105" spans="1:14">
      <c r="A105" s="3384"/>
      <c r="B105" s="2882">
        <v>4</v>
      </c>
      <c r="C105" s="2883">
        <f>0.9622/C101</f>
        <v>0.28722388059701492</v>
      </c>
      <c r="D105" s="2883">
        <f>0.9622/D101</f>
        <v>0.28722388059701492</v>
      </c>
      <c r="E105" s="2883">
        <f>0.8656/E101</f>
        <v>0.25838805970149253</v>
      </c>
      <c r="F105" s="2883">
        <f>0.8656/F101</f>
        <v>0.25838805970149253</v>
      </c>
      <c r="G105" s="2883">
        <f>0.8656/G101</f>
        <v>0.25838805970149253</v>
      </c>
      <c r="H105" s="2883">
        <f>0.8656/H101</f>
        <v>0.25838805970149253</v>
      </c>
      <c r="I105" s="2883">
        <f>0.8656/I101</f>
        <v>0.25838805970149253</v>
      </c>
      <c r="J105" s="2883">
        <f>0.7525/J101</f>
        <v>0.22462686567164178</v>
      </c>
      <c r="K105" s="2883">
        <f>0.7525/K101</f>
        <v>0.22462686567164178</v>
      </c>
      <c r="L105" s="2883">
        <f>0.7525/L101</f>
        <v>0.22462686567164178</v>
      </c>
      <c r="M105" s="2883">
        <f>0.7525/M101</f>
        <v>0.22462686567164178</v>
      </c>
      <c r="N105" s="2883">
        <f>0.7525/N101</f>
        <v>0.22462686567164178</v>
      </c>
    </row>
    <row r="106" spans="1:14">
      <c r="A106" s="3384"/>
      <c r="B106" s="2882">
        <v>5</v>
      </c>
      <c r="C106" s="2883">
        <f>0.8417/C101</f>
        <v>0.2512537313432836</v>
      </c>
      <c r="D106" s="2883">
        <f>0.8417/D101</f>
        <v>0.2512537313432836</v>
      </c>
      <c r="E106" s="2883">
        <f>0.7371/E101</f>
        <v>0.22002985074626866</v>
      </c>
      <c r="F106" s="2883">
        <f>0.7371/F101</f>
        <v>0.22002985074626866</v>
      </c>
      <c r="G106" s="2883">
        <f>0.7371/G101</f>
        <v>0.22002985074626866</v>
      </c>
      <c r="H106" s="2883">
        <f>0.7371/H101</f>
        <v>0.22002985074626866</v>
      </c>
      <c r="I106" s="2883">
        <f>0.7371/I101</f>
        <v>0.22002985074626866</v>
      </c>
      <c r="J106" s="2883">
        <f>0.5659/J101</f>
        <v>0.16892537313432834</v>
      </c>
      <c r="K106" s="2883">
        <f>0.5659/K101</f>
        <v>0.16892537313432834</v>
      </c>
      <c r="L106" s="2883">
        <f>0.5659/L101</f>
        <v>0.16892537313432834</v>
      </c>
      <c r="M106" s="2883">
        <f>0.5659/M101</f>
        <v>0.16892537313432834</v>
      </c>
      <c r="N106" s="2883">
        <f>0.5659/N101</f>
        <v>0.16892537313432834</v>
      </c>
    </row>
    <row r="107" spans="1:14">
      <c r="A107" s="3384"/>
      <c r="B107" s="2882">
        <v>6</v>
      </c>
      <c r="C107" s="2883">
        <f>0.7608/C101</f>
        <v>0.2271044776119403</v>
      </c>
      <c r="D107" s="2883">
        <f>0.7608/D101</f>
        <v>0.2271044776119403</v>
      </c>
      <c r="E107" s="2883">
        <f>0.6482/E101</f>
        <v>0.19349253731343283</v>
      </c>
      <c r="F107" s="2883">
        <f>0.6482/F101</f>
        <v>0.19349253731343283</v>
      </c>
      <c r="G107" s="2883">
        <f>0.6482/G101</f>
        <v>0.19349253731343283</v>
      </c>
      <c r="H107" s="2883">
        <f>0.6482/H101</f>
        <v>0.19349253731343283</v>
      </c>
      <c r="I107" s="2883">
        <f>0.6482/I101</f>
        <v>0.19349253731343283</v>
      </c>
      <c r="J107" s="2883">
        <f>0.4525/J101</f>
        <v>0.13507462686567165</v>
      </c>
      <c r="K107" s="2883">
        <f>0.4525/K101</f>
        <v>0.13507462686567165</v>
      </c>
      <c r="L107" s="2883">
        <f>0.4525/L101</f>
        <v>0.13507462686567165</v>
      </c>
      <c r="M107" s="2883">
        <f>0.4525/M101</f>
        <v>0.13507462686567165</v>
      </c>
      <c r="N107" s="2883">
        <f>0.4525/N101</f>
        <v>0.13507462686567165</v>
      </c>
    </row>
    <row r="108" spans="1:14">
      <c r="A108" s="3384"/>
      <c r="B108" s="3197" t="s">
        <v>2963</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85"/>
      <c r="B109" s="3198"/>
      <c r="C109" s="2885">
        <f>(-0.163*(C108^2)-0.59*C108+7617)*(10^(-4))/C101</f>
        <v>0.22737313432835821</v>
      </c>
      <c r="D109" s="2885">
        <f>(-0.163*(D108^2)-0.59*D108+7617)*(10^(-4))/D101</f>
        <v>0.22737313432835821</v>
      </c>
      <c r="E109" s="2885">
        <f>(-0.161*(E108^2)-7.509*E108+6533)*(10^(-4))/E101</f>
        <v>0.19501492537313433</v>
      </c>
      <c r="F109" s="2885">
        <f>(-0.161*(F108^2)-7.509*F108+6533)*(10^(-4))/F101</f>
        <v>0.19501492537313433</v>
      </c>
      <c r="G109" s="2885">
        <f>(-0.161*(G108^2)-7.509*G108+6533)*(10^(-4))/G101</f>
        <v>0.19501492537313433</v>
      </c>
      <c r="H109" s="2885">
        <f>(-0.161*(H108^2)-7.509*H108+6533)*(10^(-4))/H101</f>
        <v>0.19501492537313433</v>
      </c>
      <c r="I109" s="2885">
        <f>(-0.161*(I108^2)-7.509*I108+6533)*(10^(-4))/I101</f>
        <v>0.19501492537313433</v>
      </c>
      <c r="J109" s="2885">
        <f>(-0.214*(J108^2)-21.991*J108+4665)*(10^(-4))/J101</f>
        <v>0.13925373134328359</v>
      </c>
      <c r="K109" s="2885">
        <f>(-0.214*(K108^2)-21.991*K108+4665)*(10^(-4))/K101</f>
        <v>0.13925373134328359</v>
      </c>
      <c r="L109" s="2885">
        <f>(-0.214*(L108^2)-21.991*L108+4665)*(10^(-4))/L101</f>
        <v>0.13925373134328359</v>
      </c>
      <c r="M109" s="2885">
        <f>(-0.214*(M108^2)-21.991*M108+4665)*(10^(-4))/M101</f>
        <v>0.13925373134328359</v>
      </c>
      <c r="N109" s="2885">
        <f>(-0.214*(N108^2)-21.991*N108+4665)*(10^(-4))/N101</f>
        <v>0.13925373134328359</v>
      </c>
    </row>
    <row r="110" spans="1:14">
      <c r="A110" s="3381" t="s">
        <v>2964</v>
      </c>
      <c r="B110" s="3381"/>
      <c r="C110" s="3381"/>
      <c r="D110" s="3381"/>
      <c r="E110" s="3381"/>
      <c r="F110" s="3381"/>
      <c r="G110" s="3381"/>
      <c r="H110" s="3381"/>
      <c r="I110" s="3381"/>
      <c r="J110" s="3381"/>
      <c r="K110" s="2888"/>
      <c r="L110" s="2888"/>
      <c r="M110" s="2888"/>
      <c r="N110" s="2888"/>
    </row>
    <row r="112" spans="1:14" ht="13.8" thickBot="1"/>
    <row r="113" spans="1:13" ht="25.8" thickBot="1">
      <c r="A113" s="903" t="s">
        <v>2965</v>
      </c>
      <c r="B113" s="1287">
        <f>G3</f>
        <v>3.35</v>
      </c>
      <c r="C113" s="904" t="s">
        <v>2966</v>
      </c>
      <c r="D113" s="905">
        <f>SUMPRODUCT((A115:A118=F113)*(B114:M114=H113)*B115:M118)</f>
        <v>0</v>
      </c>
      <c r="E113" s="2719" t="s">
        <v>2798</v>
      </c>
      <c r="F113" s="2890">
        <f>E2</f>
        <v>0</v>
      </c>
      <c r="G113" s="2719" t="s">
        <v>2799</v>
      </c>
      <c r="H113" s="2890">
        <f>G2</f>
        <v>0</v>
      </c>
      <c r="I113" s="2719"/>
      <c r="J113" s="2891"/>
      <c r="K113" s="2891"/>
      <c r="L113" s="2891"/>
      <c r="M113" s="2891"/>
    </row>
    <row r="114" spans="1:13">
      <c r="A114" s="908"/>
      <c r="B114" s="2892" t="s">
        <v>2967</v>
      </c>
      <c r="C114" s="2892" t="s">
        <v>2968</v>
      </c>
      <c r="D114" s="2892" t="s">
        <v>2969</v>
      </c>
      <c r="E114" s="2893" t="s">
        <v>2970</v>
      </c>
      <c r="F114" s="2893" t="s">
        <v>2971</v>
      </c>
      <c r="G114" s="2893" t="s">
        <v>2972</v>
      </c>
      <c r="H114" s="2894" t="s">
        <v>2973</v>
      </c>
      <c r="I114" s="2894" t="s">
        <v>2974</v>
      </c>
      <c r="J114" s="2895" t="s">
        <v>2975</v>
      </c>
      <c r="K114" s="2895" t="s">
        <v>2976</v>
      </c>
      <c r="L114" s="2895" t="s">
        <v>2977</v>
      </c>
      <c r="M114" s="2896" t="s">
        <v>2978</v>
      </c>
    </row>
    <row r="115" spans="1:13">
      <c r="A115" s="909" t="s">
        <v>2863</v>
      </c>
      <c r="B115" s="910">
        <f>ROUND(0.9335-0.0094*B113,4)</f>
        <v>0.90200000000000002</v>
      </c>
      <c r="C115" s="910">
        <f>B115</f>
        <v>0.90200000000000002</v>
      </c>
      <c r="D115" s="910">
        <f>ROUND(0.8331-0.0109*B113,4)</f>
        <v>0.79659999999999997</v>
      </c>
      <c r="E115" s="910">
        <f>D115</f>
        <v>0.79659999999999997</v>
      </c>
      <c r="F115" s="910">
        <f>E115</f>
        <v>0.79659999999999997</v>
      </c>
      <c r="G115" s="910">
        <f>F115</f>
        <v>0.79659999999999997</v>
      </c>
      <c r="H115" s="910">
        <f>G115</f>
        <v>0.79659999999999997</v>
      </c>
      <c r="I115" s="910">
        <f>ROUND(0.689-0.0155*B113,4)</f>
        <v>0.6371</v>
      </c>
      <c r="J115" s="910">
        <f t="shared" ref="J115:M118" si="33">I115</f>
        <v>0.6371</v>
      </c>
      <c r="K115" s="910">
        <f t="shared" si="33"/>
        <v>0.6371</v>
      </c>
      <c r="L115" s="910">
        <f t="shared" si="33"/>
        <v>0.6371</v>
      </c>
      <c r="M115" s="911">
        <f t="shared" si="33"/>
        <v>0.6371</v>
      </c>
    </row>
    <row r="116" spans="1:13">
      <c r="A116" s="909" t="s">
        <v>2864</v>
      </c>
      <c r="B116" s="910">
        <f>ROUND(0.949-0.012*B113,4)</f>
        <v>0.90880000000000005</v>
      </c>
      <c r="C116" s="910">
        <f>B116</f>
        <v>0.90880000000000005</v>
      </c>
      <c r="D116" s="910">
        <f>ROUND(0.8567-0.013*B113,4)</f>
        <v>0.81320000000000003</v>
      </c>
      <c r="E116" s="910">
        <f t="shared" ref="E116:H117" si="34">D116</f>
        <v>0.81320000000000003</v>
      </c>
      <c r="F116" s="910">
        <f t="shared" si="34"/>
        <v>0.81320000000000003</v>
      </c>
      <c r="G116" s="910">
        <f t="shared" si="34"/>
        <v>0.81320000000000003</v>
      </c>
      <c r="H116" s="910">
        <f t="shared" si="34"/>
        <v>0.81320000000000003</v>
      </c>
      <c r="I116" s="910">
        <f>ROUND(0.7694-0.014*B113,4)</f>
        <v>0.72250000000000003</v>
      </c>
      <c r="J116" s="910">
        <f t="shared" si="33"/>
        <v>0.72250000000000003</v>
      </c>
      <c r="K116" s="910">
        <f t="shared" si="33"/>
        <v>0.72250000000000003</v>
      </c>
      <c r="L116" s="910">
        <f t="shared" si="33"/>
        <v>0.72250000000000003</v>
      </c>
      <c r="M116" s="911">
        <f t="shared" si="33"/>
        <v>0.72250000000000003</v>
      </c>
    </row>
    <row r="117" spans="1:13">
      <c r="A117" s="909" t="s">
        <v>2865</v>
      </c>
      <c r="B117" s="910">
        <f>ROUND(0.8808-0.006*B113,4)</f>
        <v>0.86070000000000002</v>
      </c>
      <c r="C117" s="910">
        <f>B117</f>
        <v>0.86070000000000002</v>
      </c>
      <c r="D117" s="910">
        <f>ROUND(0.8748-0.008*B113,4)</f>
        <v>0.84799999999999998</v>
      </c>
      <c r="E117" s="910">
        <f t="shared" si="34"/>
        <v>0.84799999999999998</v>
      </c>
      <c r="F117" s="910">
        <f t="shared" si="34"/>
        <v>0.84799999999999998</v>
      </c>
      <c r="G117" s="910">
        <f t="shared" si="34"/>
        <v>0.84799999999999998</v>
      </c>
      <c r="H117" s="910">
        <f t="shared" si="34"/>
        <v>0.84799999999999998</v>
      </c>
      <c r="I117" s="910">
        <f>ROUND(0.7412-0.0095*B113,4)</f>
        <v>0.70940000000000003</v>
      </c>
      <c r="J117" s="910">
        <f t="shared" si="33"/>
        <v>0.70940000000000003</v>
      </c>
      <c r="K117" s="910">
        <f t="shared" si="33"/>
        <v>0.70940000000000003</v>
      </c>
      <c r="L117" s="910">
        <f t="shared" si="33"/>
        <v>0.70940000000000003</v>
      </c>
      <c r="M117" s="911">
        <f t="shared" si="33"/>
        <v>0.70940000000000003</v>
      </c>
    </row>
    <row r="118" spans="1:13" ht="13.8" thickBot="1">
      <c r="A118" s="714" t="s">
        <v>2866</v>
      </c>
      <c r="B118" s="912">
        <f>ROUND(0.7275-0.01*B113,4)</f>
        <v>0.69399999999999995</v>
      </c>
      <c r="C118" s="912">
        <f>B118</f>
        <v>0.69399999999999995</v>
      </c>
      <c r="D118" s="912">
        <f>ROUND(0.7043-0.012*B113,4)</f>
        <v>0.66410000000000002</v>
      </c>
      <c r="E118" s="912">
        <f>D118</f>
        <v>0.66410000000000002</v>
      </c>
      <c r="F118" s="912">
        <f>E118</f>
        <v>0.66410000000000002</v>
      </c>
      <c r="G118" s="912">
        <f>ROUND(0.6299-0.0122*B113,4)</f>
        <v>0.58899999999999997</v>
      </c>
      <c r="H118" s="912">
        <f>G118</f>
        <v>0.58899999999999997</v>
      </c>
      <c r="I118" s="912">
        <f>ROUND(0.5667-0.0136*B113,4)</f>
        <v>0.52110000000000001</v>
      </c>
      <c r="J118" s="912">
        <f t="shared" si="33"/>
        <v>0.52110000000000001</v>
      </c>
      <c r="K118" s="912">
        <f t="shared" si="33"/>
        <v>0.52110000000000001</v>
      </c>
      <c r="L118" s="912">
        <f t="shared" si="33"/>
        <v>0.52110000000000001</v>
      </c>
      <c r="M118" s="913">
        <f t="shared" si="33"/>
        <v>0.52110000000000001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01" t="s">
        <v>183</v>
      </c>
      <c r="B18" s="882" t="s">
        <v>560</v>
      </c>
      <c r="C18" s="883" t="s">
        <v>561</v>
      </c>
      <c r="D18" s="884"/>
      <c r="E18" s="882">
        <v>1</v>
      </c>
      <c r="F18" s="885" t="s">
        <v>562</v>
      </c>
      <c r="G18" s="886"/>
      <c r="H18" s="878"/>
      <c r="I18" s="878"/>
    </row>
    <row r="19" spans="1:9" s="887" customFormat="1" ht="19.5" customHeight="1">
      <c r="A19" s="3401"/>
      <c r="B19" s="3401" t="s">
        <v>563</v>
      </c>
      <c r="C19" s="883" t="s">
        <v>564</v>
      </c>
      <c r="D19" s="884"/>
      <c r="E19" s="882">
        <v>0.9</v>
      </c>
      <c r="F19" s="885" t="s">
        <v>565</v>
      </c>
      <c r="G19" s="886"/>
      <c r="H19" s="878"/>
      <c r="I19" s="878"/>
    </row>
    <row r="20" spans="1:9" s="887" customFormat="1" ht="19.5" customHeight="1">
      <c r="A20" s="3401"/>
      <c r="B20" s="3401"/>
      <c r="C20" s="883" t="s">
        <v>566</v>
      </c>
      <c r="D20" s="884"/>
      <c r="E20" s="882">
        <v>1.1000000000000001</v>
      </c>
      <c r="F20" s="885" t="s">
        <v>567</v>
      </c>
      <c r="G20" s="886"/>
      <c r="H20" s="878"/>
      <c r="I20" s="878"/>
    </row>
    <row r="21" spans="1:9" s="887" customFormat="1" ht="19.5" customHeight="1">
      <c r="A21" s="3401"/>
      <c r="B21" s="3401"/>
      <c r="C21" s="883" t="s">
        <v>568</v>
      </c>
      <c r="D21" s="884"/>
      <c r="E21" s="882">
        <v>0.8</v>
      </c>
      <c r="F21" s="885" t="s">
        <v>569</v>
      </c>
      <c r="G21" s="886"/>
      <c r="H21" s="878"/>
      <c r="I21" s="878"/>
    </row>
    <row r="22" spans="1:9" s="887" customFormat="1" ht="19.5" customHeight="1">
      <c r="A22" s="3401"/>
      <c r="B22" s="3401"/>
      <c r="C22" s="883" t="s">
        <v>570</v>
      </c>
      <c r="D22" s="884"/>
      <c r="E22" s="882">
        <v>0.5</v>
      </c>
      <c r="F22" s="885"/>
      <c r="G22" s="886"/>
      <c r="H22" s="878"/>
      <c r="I22" s="878"/>
    </row>
    <row r="23" spans="1:9" s="887" customFormat="1" ht="19.5" customHeight="1">
      <c r="A23" s="3401" t="s">
        <v>184</v>
      </c>
      <c r="B23" s="882" t="s">
        <v>560</v>
      </c>
      <c r="C23" s="883" t="s">
        <v>571</v>
      </c>
      <c r="D23" s="884"/>
      <c r="E23" s="882">
        <v>1</v>
      </c>
      <c r="F23" s="885" t="s">
        <v>572</v>
      </c>
      <c r="G23" s="886"/>
      <c r="H23" s="878"/>
      <c r="I23" s="878"/>
    </row>
    <row r="24" spans="1:9" s="887" customFormat="1" ht="19.5" customHeight="1">
      <c r="A24" s="3401"/>
      <c r="B24" s="3401" t="s">
        <v>563</v>
      </c>
      <c r="C24" s="883" t="s">
        <v>573</v>
      </c>
      <c r="D24" s="884"/>
      <c r="E24" s="882">
        <v>0.5</v>
      </c>
      <c r="F24" s="885"/>
      <c r="G24" s="886"/>
      <c r="H24" s="878"/>
      <c r="I24" s="878"/>
    </row>
    <row r="25" spans="1:9" s="887" customFormat="1" ht="19.5" customHeight="1">
      <c r="A25" s="3401"/>
      <c r="B25" s="3401"/>
      <c r="C25" s="883" t="s">
        <v>574</v>
      </c>
      <c r="D25" s="884"/>
      <c r="E25" s="882">
        <v>1.1000000000000001</v>
      </c>
      <c r="F25" s="885"/>
      <c r="G25" s="886"/>
      <c r="H25" s="878"/>
      <c r="I25" s="878"/>
    </row>
    <row r="26" spans="1:9" s="887" customFormat="1" ht="19.5" customHeight="1">
      <c r="A26" s="3401"/>
      <c r="B26" s="3401"/>
      <c r="C26" s="883" t="s">
        <v>575</v>
      </c>
      <c r="D26" s="884"/>
      <c r="E26" s="882">
        <v>1.1000000000000001</v>
      </c>
      <c r="F26" s="885"/>
      <c r="G26" s="886"/>
      <c r="H26" s="878"/>
      <c r="I26" s="878"/>
    </row>
    <row r="27" spans="1:9" s="887" customFormat="1" ht="19.5" customHeight="1">
      <c r="A27" s="3401"/>
      <c r="B27" s="3401"/>
      <c r="C27" s="883" t="s">
        <v>576</v>
      </c>
      <c r="D27" s="884"/>
      <c r="E27" s="882">
        <v>0.9</v>
      </c>
      <c r="F27" s="885" t="s">
        <v>577</v>
      </c>
      <c r="G27" s="886"/>
      <c r="H27" s="878"/>
      <c r="I27" s="878"/>
    </row>
    <row r="28" spans="1:9" s="887" customFormat="1" ht="19.5" customHeight="1">
      <c r="A28" s="3401"/>
      <c r="B28" s="3401"/>
      <c r="C28" s="883" t="s">
        <v>578</v>
      </c>
      <c r="D28" s="884"/>
      <c r="E28" s="882">
        <v>0.9</v>
      </c>
      <c r="F28" s="885" t="s">
        <v>579</v>
      </c>
      <c r="G28" s="886"/>
      <c r="H28" s="878"/>
      <c r="I28" s="878"/>
    </row>
    <row r="29" spans="1:9" s="887" customFormat="1" ht="19.5" customHeight="1">
      <c r="A29" s="3401"/>
      <c r="B29" s="3401"/>
      <c r="C29" s="883" t="s">
        <v>580</v>
      </c>
      <c r="D29" s="884"/>
      <c r="E29" s="882">
        <v>0.9</v>
      </c>
      <c r="F29" s="885" t="s">
        <v>581</v>
      </c>
      <c r="G29" s="886"/>
      <c r="H29" s="878"/>
      <c r="I29" s="878"/>
    </row>
    <row r="30" spans="1:9" s="887" customFormat="1" ht="19.5" customHeight="1">
      <c r="A30" s="3401"/>
      <c r="B30" s="3401"/>
      <c r="C30" s="883" t="s">
        <v>582</v>
      </c>
      <c r="D30" s="884"/>
      <c r="E30" s="882">
        <v>0.9</v>
      </c>
      <c r="F30" s="885" t="s">
        <v>583</v>
      </c>
      <c r="G30" s="886"/>
      <c r="H30" s="878"/>
      <c r="I30" s="878"/>
    </row>
    <row r="31" spans="1:9" s="887" customFormat="1" ht="19.5" customHeight="1">
      <c r="A31" s="3401"/>
      <c r="B31" s="3401"/>
      <c r="C31" s="883" t="s">
        <v>584</v>
      </c>
      <c r="D31" s="884"/>
      <c r="E31" s="882">
        <v>0.8</v>
      </c>
      <c r="F31" s="885" t="s">
        <v>585</v>
      </c>
      <c r="G31" s="886"/>
      <c r="H31" s="878"/>
      <c r="I31" s="878"/>
    </row>
    <row r="32" spans="1:9" s="887" customFormat="1" ht="19.5" customHeight="1">
      <c r="A32" s="3401"/>
      <c r="B32" s="3401"/>
      <c r="C32" s="883" t="s">
        <v>586</v>
      </c>
      <c r="D32" s="884"/>
      <c r="E32" s="882">
        <v>0.8</v>
      </c>
      <c r="F32" s="885" t="s">
        <v>587</v>
      </c>
      <c r="G32" s="886"/>
      <c r="H32" s="878"/>
      <c r="I32" s="878"/>
    </row>
    <row r="33" spans="1:9" s="887" customFormat="1" ht="19.5" customHeight="1">
      <c r="A33" s="3401" t="s">
        <v>185</v>
      </c>
      <c r="B33" s="882" t="s">
        <v>560</v>
      </c>
      <c r="C33" s="883" t="s">
        <v>588</v>
      </c>
      <c r="D33" s="884"/>
      <c r="E33" s="882">
        <v>1</v>
      </c>
      <c r="F33" s="885" t="s">
        <v>589</v>
      </c>
      <c r="G33" s="886"/>
      <c r="H33" s="878"/>
      <c r="I33" s="878"/>
    </row>
    <row r="34" spans="1:9" s="887" customFormat="1" ht="19.5" customHeight="1">
      <c r="A34" s="3401"/>
      <c r="B34" s="882" t="s">
        <v>563</v>
      </c>
      <c r="C34" s="883" t="s">
        <v>590</v>
      </c>
      <c r="D34" s="884"/>
      <c r="E34" s="882">
        <v>1.5</v>
      </c>
      <c r="F34" s="885" t="s">
        <v>591</v>
      </c>
      <c r="G34" s="886"/>
      <c r="H34" s="878"/>
      <c r="I34" s="878"/>
    </row>
    <row r="35" spans="1:9" s="887" customFormat="1" ht="19.5" customHeight="1">
      <c r="A35" s="3401" t="s">
        <v>186</v>
      </c>
      <c r="B35" s="882" t="s">
        <v>560</v>
      </c>
      <c r="C35" s="883" t="s">
        <v>592</v>
      </c>
      <c r="D35" s="884"/>
      <c r="E35" s="882">
        <v>1</v>
      </c>
      <c r="F35" s="885" t="s">
        <v>593</v>
      </c>
      <c r="G35" s="886"/>
      <c r="H35" s="878"/>
      <c r="I35" s="878"/>
    </row>
    <row r="36" spans="1:9" s="887" customFormat="1" ht="19.5" customHeight="1">
      <c r="A36" s="3401"/>
      <c r="B36" s="3401" t="s">
        <v>563</v>
      </c>
      <c r="C36" s="883" t="s">
        <v>594</v>
      </c>
      <c r="D36" s="884"/>
      <c r="E36" s="882">
        <v>1</v>
      </c>
      <c r="F36" s="885" t="s">
        <v>595</v>
      </c>
      <c r="G36" s="886"/>
      <c r="H36" s="878"/>
      <c r="I36" s="878"/>
    </row>
    <row r="37" spans="1:9" s="887" customFormat="1" ht="19.5" customHeight="1">
      <c r="A37" s="3401"/>
      <c r="B37" s="3401"/>
      <c r="C37" s="883" t="s">
        <v>596</v>
      </c>
      <c r="D37" s="884"/>
      <c r="E37" s="882">
        <v>1.5</v>
      </c>
      <c r="F37" s="885" t="s">
        <v>597</v>
      </c>
      <c r="G37" s="886"/>
      <c r="H37" s="878"/>
      <c r="I37" s="878"/>
    </row>
    <row r="38" spans="1:9" s="887" customFormat="1" ht="19.5" customHeight="1">
      <c r="A38" s="3401"/>
      <c r="B38" s="3401"/>
      <c r="C38" s="883" t="s">
        <v>598</v>
      </c>
      <c r="D38" s="884"/>
      <c r="E38" s="882">
        <v>1</v>
      </c>
      <c r="F38" s="885" t="s">
        <v>599</v>
      </c>
      <c r="G38" s="886"/>
      <c r="H38" s="878"/>
      <c r="I38" s="878"/>
    </row>
    <row r="39" spans="1:9" s="887" customFormat="1" ht="19.5" customHeight="1">
      <c r="A39" s="3401"/>
      <c r="B39" s="34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401" t="s">
        <v>614</v>
      </c>
      <c r="C61" s="818" t="s">
        <v>615</v>
      </c>
      <c r="D61" s="818" t="s">
        <v>616</v>
      </c>
      <c r="E61" s="895">
        <v>0.5</v>
      </c>
      <c r="F61" s="882">
        <v>80</v>
      </c>
    </row>
    <row r="62" spans="1:8" s="878" customFormat="1" ht="36">
      <c r="A62" s="882">
        <v>2</v>
      </c>
      <c r="B62" s="3401"/>
      <c r="C62" s="818" t="s">
        <v>617</v>
      </c>
      <c r="D62" s="818" t="s">
        <v>618</v>
      </c>
      <c r="E62" s="895">
        <v>0.5</v>
      </c>
      <c r="F62" s="882">
        <v>80</v>
      </c>
    </row>
    <row r="63" spans="1:8" s="878" customFormat="1" ht="48">
      <c r="A63" s="882">
        <v>3</v>
      </c>
      <c r="B63" s="3401"/>
      <c r="C63" s="818" t="s">
        <v>619</v>
      </c>
      <c r="D63" s="818" t="s">
        <v>620</v>
      </c>
      <c r="E63" s="895">
        <v>0.5</v>
      </c>
      <c r="F63" s="882">
        <v>80</v>
      </c>
    </row>
    <row r="64" spans="1:8" s="878" customFormat="1" ht="48">
      <c r="A64" s="882">
        <v>4</v>
      </c>
      <c r="B64" s="3401"/>
      <c r="C64" s="818" t="s">
        <v>621</v>
      </c>
      <c r="D64" s="818" t="s">
        <v>622</v>
      </c>
      <c r="E64" s="895">
        <v>0.4</v>
      </c>
      <c r="F64" s="882">
        <v>60</v>
      </c>
    </row>
    <row r="65" spans="1:6" s="878" customFormat="1" ht="48">
      <c r="A65" s="882">
        <v>5</v>
      </c>
      <c r="B65" s="3401"/>
      <c r="C65" s="818" t="s">
        <v>623</v>
      </c>
      <c r="D65" s="818" t="s">
        <v>624</v>
      </c>
      <c r="E65" s="895">
        <v>0.2</v>
      </c>
      <c r="F65" s="882">
        <v>30</v>
      </c>
    </row>
    <row r="66" spans="1:6" s="878" customFormat="1" ht="48">
      <c r="A66" s="882">
        <v>6</v>
      </c>
      <c r="B66" s="3401"/>
      <c r="C66" s="818" t="s">
        <v>625</v>
      </c>
      <c r="D66" s="818" t="s">
        <v>626</v>
      </c>
      <c r="E66" s="895">
        <v>0.3</v>
      </c>
      <c r="F66" s="882">
        <v>50</v>
      </c>
    </row>
    <row r="67" spans="1:6" s="878" customFormat="1" ht="48">
      <c r="A67" s="882">
        <v>7</v>
      </c>
      <c r="B67" s="3401"/>
      <c r="C67" s="818" t="s">
        <v>627</v>
      </c>
      <c r="D67" s="818" t="s">
        <v>628</v>
      </c>
      <c r="E67" s="895">
        <v>0.2</v>
      </c>
      <c r="F67" s="882">
        <v>30</v>
      </c>
    </row>
    <row r="68" spans="1:6" s="878" customFormat="1" ht="48">
      <c r="A68" s="882">
        <v>8</v>
      </c>
      <c r="B68" s="3401"/>
      <c r="C68" s="818" t="s">
        <v>629</v>
      </c>
      <c r="D68" s="818" t="s">
        <v>630</v>
      </c>
      <c r="E68" s="895">
        <v>0.2</v>
      </c>
      <c r="F68" s="882">
        <v>30</v>
      </c>
    </row>
    <row r="69" spans="1:6" s="878" customFormat="1" ht="48">
      <c r="A69" s="882">
        <v>9</v>
      </c>
      <c r="B69" s="3401"/>
      <c r="C69" s="818" t="s">
        <v>631</v>
      </c>
      <c r="D69" s="818" t="s">
        <v>632</v>
      </c>
      <c r="E69" s="895">
        <v>0.2</v>
      </c>
      <c r="F69" s="882">
        <v>30</v>
      </c>
    </row>
    <row r="70" spans="1:6" s="878" customFormat="1" ht="60">
      <c r="A70" s="882">
        <v>10</v>
      </c>
      <c r="B70" s="3401"/>
      <c r="C70" s="818" t="s">
        <v>633</v>
      </c>
      <c r="D70" s="818" t="s">
        <v>634</v>
      </c>
      <c r="E70" s="895">
        <v>0.2</v>
      </c>
      <c r="F70" s="882">
        <v>30</v>
      </c>
    </row>
    <row r="71" spans="1:6" s="878" customFormat="1" ht="60">
      <c r="A71" s="882">
        <v>11</v>
      </c>
      <c r="B71" s="3401"/>
      <c r="C71" s="818" t="s">
        <v>635</v>
      </c>
      <c r="D71" s="818" t="s">
        <v>636</v>
      </c>
      <c r="E71" s="895">
        <v>0.2</v>
      </c>
      <c r="F71" s="882">
        <v>30</v>
      </c>
    </row>
    <row r="72" spans="1:6" s="878" customFormat="1" ht="36">
      <c r="A72" s="882">
        <v>12</v>
      </c>
      <c r="B72" s="3401"/>
      <c r="C72" s="818" t="s">
        <v>637</v>
      </c>
      <c r="D72" s="818" t="s">
        <v>638</v>
      </c>
      <c r="E72" s="895">
        <v>0.5</v>
      </c>
      <c r="F72" s="882">
        <v>80</v>
      </c>
    </row>
    <row r="73" spans="1:6" s="878" customFormat="1" ht="36">
      <c r="A73" s="882">
        <v>13</v>
      </c>
      <c r="B73" s="3401"/>
      <c r="C73" s="818" t="s">
        <v>639</v>
      </c>
      <c r="D73" s="818" t="s">
        <v>640</v>
      </c>
      <c r="E73" s="895">
        <v>0.4</v>
      </c>
      <c r="F73" s="882">
        <v>60</v>
      </c>
    </row>
    <row r="74" spans="1:6" s="878" customFormat="1" ht="36">
      <c r="A74" s="882">
        <v>14</v>
      </c>
      <c r="B74" s="3401"/>
      <c r="C74" s="818" t="s">
        <v>641</v>
      </c>
      <c r="D74" s="818" t="s">
        <v>642</v>
      </c>
      <c r="E74" s="895">
        <v>0.2</v>
      </c>
      <c r="F74" s="882">
        <v>30</v>
      </c>
    </row>
    <row r="75" spans="1:6" s="878" customFormat="1" ht="36">
      <c r="A75" s="882">
        <v>15</v>
      </c>
      <c r="B75" s="3401"/>
      <c r="C75" s="818" t="s">
        <v>643</v>
      </c>
      <c r="D75" s="818" t="s">
        <v>644</v>
      </c>
      <c r="E75" s="895">
        <v>0.2</v>
      </c>
      <c r="F75" s="882">
        <v>30</v>
      </c>
    </row>
    <row r="76" spans="1:6" s="878" customFormat="1" ht="36">
      <c r="A76" s="882">
        <v>16</v>
      </c>
      <c r="B76" s="3401" t="s">
        <v>645</v>
      </c>
      <c r="C76" s="818" t="s">
        <v>646</v>
      </c>
      <c r="D76" s="818" t="s">
        <v>647</v>
      </c>
      <c r="E76" s="895">
        <v>0.5</v>
      </c>
      <c r="F76" s="882">
        <v>80</v>
      </c>
    </row>
    <row r="77" spans="1:6" s="878" customFormat="1" ht="36">
      <c r="A77" s="882">
        <v>17</v>
      </c>
      <c r="B77" s="3401"/>
      <c r="C77" s="818" t="s">
        <v>648</v>
      </c>
      <c r="D77" s="818" t="s">
        <v>649</v>
      </c>
      <c r="E77" s="895">
        <v>0.5</v>
      </c>
      <c r="F77" s="882">
        <v>80</v>
      </c>
    </row>
    <row r="78" spans="1:6" s="878" customFormat="1" ht="36">
      <c r="A78" s="882">
        <v>18</v>
      </c>
      <c r="B78" s="3401"/>
      <c r="C78" s="818" t="s">
        <v>650</v>
      </c>
      <c r="D78" s="818" t="s">
        <v>651</v>
      </c>
      <c r="E78" s="895">
        <v>0.2</v>
      </c>
      <c r="F78" s="882">
        <v>30</v>
      </c>
    </row>
    <row r="79" spans="1:6" s="878" customFormat="1" ht="36">
      <c r="A79" s="882">
        <v>19</v>
      </c>
      <c r="B79" s="3401"/>
      <c r="C79" s="818" t="s">
        <v>652</v>
      </c>
      <c r="D79" s="818" t="s">
        <v>653</v>
      </c>
      <c r="E79" s="895">
        <v>0.5</v>
      </c>
      <c r="F79" s="882">
        <v>80</v>
      </c>
    </row>
    <row r="80" spans="1:6" s="878" customFormat="1" ht="36">
      <c r="A80" s="882">
        <v>20</v>
      </c>
      <c r="B80" s="3401"/>
      <c r="C80" s="818" t="s">
        <v>654</v>
      </c>
      <c r="D80" s="818" t="s">
        <v>655</v>
      </c>
      <c r="E80" s="895">
        <v>0.2</v>
      </c>
      <c r="F80" s="882">
        <v>30</v>
      </c>
    </row>
    <row r="81" spans="1:6" s="878" customFormat="1" ht="36">
      <c r="A81" s="882">
        <v>21</v>
      </c>
      <c r="B81" s="3401"/>
      <c r="C81" s="818" t="s">
        <v>656</v>
      </c>
      <c r="D81" s="818" t="s">
        <v>657</v>
      </c>
      <c r="E81" s="895">
        <v>0.2</v>
      </c>
      <c r="F81" s="882">
        <v>30</v>
      </c>
    </row>
    <row r="82" spans="1:6" s="878" customFormat="1" ht="60">
      <c r="A82" s="882">
        <v>22</v>
      </c>
      <c r="B82" s="3401"/>
      <c r="C82" s="818" t="s">
        <v>658</v>
      </c>
      <c r="D82" s="818" t="s">
        <v>659</v>
      </c>
      <c r="E82" s="895">
        <v>0.2</v>
      </c>
      <c r="F82" s="882">
        <v>30</v>
      </c>
    </row>
    <row r="83" spans="1:6" s="878" customFormat="1" ht="60">
      <c r="A83" s="882">
        <v>23</v>
      </c>
      <c r="B83" s="3401"/>
      <c r="C83" s="818" t="s">
        <v>660</v>
      </c>
      <c r="D83" s="818" t="s">
        <v>661</v>
      </c>
      <c r="E83" s="895">
        <v>0.2</v>
      </c>
      <c r="F83" s="882">
        <v>30</v>
      </c>
    </row>
    <row r="84" spans="1:6" s="878" customFormat="1" ht="48">
      <c r="A84" s="882">
        <v>24</v>
      </c>
      <c r="B84" s="3401"/>
      <c r="C84" s="818" t="s">
        <v>662</v>
      </c>
      <c r="D84" s="818" t="s">
        <v>663</v>
      </c>
      <c r="E84" s="895">
        <v>0.2</v>
      </c>
      <c r="F84" s="882">
        <v>30</v>
      </c>
    </row>
    <row r="85" spans="1:6" s="878" customFormat="1" ht="36">
      <c r="A85" s="882">
        <v>25</v>
      </c>
      <c r="B85" s="3401"/>
      <c r="C85" s="818" t="s">
        <v>664</v>
      </c>
      <c r="D85" s="818" t="s">
        <v>665</v>
      </c>
      <c r="E85" s="895">
        <v>0.5</v>
      </c>
      <c r="F85" s="882">
        <v>80</v>
      </c>
    </row>
    <row r="86" spans="1:6" s="878" customFormat="1" ht="36">
      <c r="A86" s="882">
        <v>26</v>
      </c>
      <c r="B86" s="3401"/>
      <c r="C86" s="818" t="s">
        <v>666</v>
      </c>
      <c r="D86" s="818" t="s">
        <v>667</v>
      </c>
      <c r="E86" s="895">
        <v>0.2</v>
      </c>
      <c r="F86" s="882">
        <v>30</v>
      </c>
    </row>
    <row r="87" spans="1:6" s="878" customFormat="1" ht="36">
      <c r="A87" s="882">
        <v>27</v>
      </c>
      <c r="B87" s="3401"/>
      <c r="C87" s="818" t="s">
        <v>668</v>
      </c>
      <c r="D87" s="818" t="s">
        <v>669</v>
      </c>
      <c r="E87" s="895">
        <v>0.2</v>
      </c>
      <c r="F87" s="882">
        <v>30</v>
      </c>
    </row>
    <row r="88" spans="1:6" s="878" customFormat="1" ht="36">
      <c r="A88" s="882">
        <v>28</v>
      </c>
      <c r="B88" s="3401"/>
      <c r="C88" s="818" t="s">
        <v>670</v>
      </c>
      <c r="D88" s="818" t="s">
        <v>671</v>
      </c>
      <c r="E88" s="895">
        <v>0.2</v>
      </c>
      <c r="F88" s="882">
        <v>30</v>
      </c>
    </row>
    <row r="89" spans="1:6" s="878" customFormat="1" ht="36">
      <c r="A89" s="882">
        <v>29</v>
      </c>
      <c r="B89" s="3401"/>
      <c r="C89" s="818" t="s">
        <v>672</v>
      </c>
      <c r="D89" s="818" t="s">
        <v>673</v>
      </c>
      <c r="E89" s="895">
        <v>0.2</v>
      </c>
      <c r="F89" s="882">
        <v>30</v>
      </c>
    </row>
    <row r="90" spans="1:6" s="878" customFormat="1" ht="36">
      <c r="A90" s="882">
        <v>30</v>
      </c>
      <c r="B90" s="3401"/>
      <c r="C90" s="818" t="s">
        <v>674</v>
      </c>
      <c r="D90" s="818" t="s">
        <v>675</v>
      </c>
      <c r="E90" s="895">
        <v>0.2</v>
      </c>
      <c r="F90" s="882">
        <v>30</v>
      </c>
    </row>
    <row r="91" spans="1:6" s="878" customFormat="1" ht="48">
      <c r="A91" s="882">
        <v>31</v>
      </c>
      <c r="B91" s="3401"/>
      <c r="C91" s="818" t="s">
        <v>676</v>
      </c>
      <c r="D91" s="818" t="s">
        <v>677</v>
      </c>
      <c r="E91" s="895">
        <v>0.2</v>
      </c>
      <c r="F91" s="882">
        <v>30</v>
      </c>
    </row>
    <row r="92" spans="1:6" s="878" customFormat="1" ht="36">
      <c r="A92" s="882">
        <v>32</v>
      </c>
      <c r="B92" s="3401" t="s">
        <v>678</v>
      </c>
      <c r="C92" s="882" t="s">
        <v>679</v>
      </c>
      <c r="D92" s="818" t="s">
        <v>680</v>
      </c>
      <c r="E92" s="895">
        <v>0.2</v>
      </c>
      <c r="F92" s="882">
        <v>30</v>
      </c>
    </row>
    <row r="93" spans="1:6" s="878" customFormat="1" ht="36">
      <c r="A93" s="882">
        <v>33</v>
      </c>
      <c r="B93" s="3401"/>
      <c r="C93" s="882" t="s">
        <v>681</v>
      </c>
      <c r="D93" s="818" t="s">
        <v>682</v>
      </c>
      <c r="E93" s="895">
        <v>0.2</v>
      </c>
      <c r="F93" s="882">
        <v>30</v>
      </c>
    </row>
    <row r="94" spans="1:6" s="878" customFormat="1" ht="60">
      <c r="A94" s="882">
        <v>34</v>
      </c>
      <c r="B94" s="3401"/>
      <c r="C94" s="882" t="s">
        <v>683</v>
      </c>
      <c r="D94" s="818" t="s">
        <v>684</v>
      </c>
      <c r="E94" s="895">
        <v>0.2</v>
      </c>
      <c r="F94" s="882">
        <v>30</v>
      </c>
    </row>
    <row r="95" spans="1:6" s="878" customFormat="1" ht="48">
      <c r="A95" s="882">
        <v>35</v>
      </c>
      <c r="B95" s="3401"/>
      <c r="C95" s="882" t="s">
        <v>685</v>
      </c>
      <c r="D95" s="818" t="s">
        <v>686</v>
      </c>
      <c r="E95" s="895">
        <v>0.2</v>
      </c>
      <c r="F95" s="882">
        <v>30</v>
      </c>
    </row>
    <row r="96" spans="1:6" s="878" customFormat="1" ht="72">
      <c r="A96" s="882">
        <v>36</v>
      </c>
      <c r="B96" s="3401"/>
      <c r="C96" s="818" t="s">
        <v>687</v>
      </c>
      <c r="D96" s="818" t="s">
        <v>688</v>
      </c>
      <c r="E96" s="895">
        <v>0.2</v>
      </c>
      <c r="F96" s="882">
        <v>30</v>
      </c>
    </row>
    <row r="97" spans="1:6" s="878" customFormat="1" ht="36">
      <c r="A97" s="882">
        <v>37</v>
      </c>
      <c r="B97" s="3401"/>
      <c r="C97" s="882" t="s">
        <v>689</v>
      </c>
      <c r="D97" s="818" t="s">
        <v>690</v>
      </c>
      <c r="E97" s="895">
        <v>0.2</v>
      </c>
      <c r="F97" s="882">
        <v>30</v>
      </c>
    </row>
    <row r="98" spans="1:6" s="878" customFormat="1" ht="36">
      <c r="A98" s="882">
        <v>38</v>
      </c>
      <c r="B98" s="3401"/>
      <c r="C98" s="882" t="s">
        <v>691</v>
      </c>
      <c r="D98" s="818" t="s">
        <v>692</v>
      </c>
      <c r="E98" s="895">
        <v>0.2</v>
      </c>
      <c r="F98" s="882">
        <v>30</v>
      </c>
    </row>
    <row r="99" spans="1:6" s="878" customFormat="1" ht="36">
      <c r="A99" s="882">
        <v>39</v>
      </c>
      <c r="B99" s="3401" t="s">
        <v>693</v>
      </c>
      <c r="C99" s="882" t="s">
        <v>694</v>
      </c>
      <c r="D99" s="818" t="s">
        <v>695</v>
      </c>
      <c r="E99" s="895">
        <v>0.3</v>
      </c>
      <c r="F99" s="882">
        <v>50</v>
      </c>
    </row>
    <row r="100" spans="1:6" s="878" customFormat="1" ht="36">
      <c r="A100" s="882">
        <v>40</v>
      </c>
      <c r="B100" s="3401"/>
      <c r="C100" s="882" t="s">
        <v>696</v>
      </c>
      <c r="D100" s="818" t="s">
        <v>697</v>
      </c>
      <c r="E100" s="895">
        <v>0.2</v>
      </c>
      <c r="F100" s="882">
        <v>30</v>
      </c>
    </row>
    <row r="101" spans="1:6" s="878" customFormat="1" ht="36">
      <c r="A101" s="882">
        <v>41</v>
      </c>
      <c r="B101" s="340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401" t="s">
        <v>708</v>
      </c>
      <c r="C105" s="882" t="s">
        <v>709</v>
      </c>
      <c r="D105" s="818" t="s">
        <v>710</v>
      </c>
      <c r="E105" s="895">
        <v>0.2</v>
      </c>
      <c r="F105" s="882">
        <v>30</v>
      </c>
    </row>
    <row r="106" spans="1:6" s="878" customFormat="1" ht="48">
      <c r="A106" s="882">
        <v>46</v>
      </c>
      <c r="B106" s="3401"/>
      <c r="C106" s="882" t="s">
        <v>711</v>
      </c>
      <c r="D106" s="818" t="s">
        <v>712</v>
      </c>
      <c r="E106" s="895">
        <v>0.2</v>
      </c>
      <c r="F106" s="882">
        <v>30</v>
      </c>
    </row>
    <row r="107" spans="1:6" s="878" customFormat="1" ht="36">
      <c r="A107" s="882">
        <v>47</v>
      </c>
      <c r="B107" s="3401" t="s">
        <v>713</v>
      </c>
      <c r="C107" s="882" t="s">
        <v>714</v>
      </c>
      <c r="D107" s="818" t="s">
        <v>715</v>
      </c>
      <c r="E107" s="895">
        <v>0.3</v>
      </c>
      <c r="F107" s="882">
        <v>50</v>
      </c>
    </row>
    <row r="108" spans="1:6" s="878" customFormat="1" ht="48">
      <c r="A108" s="882">
        <v>48</v>
      </c>
      <c r="B108" s="34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401" t="s">
        <v>724</v>
      </c>
      <c r="C111" s="882" t="s">
        <v>725</v>
      </c>
      <c r="D111" s="818" t="s">
        <v>726</v>
      </c>
      <c r="E111" s="895">
        <v>0.2</v>
      </c>
      <c r="F111" s="882">
        <v>30</v>
      </c>
    </row>
    <row r="112" spans="1:6" s="878" customFormat="1" ht="36">
      <c r="A112" s="882">
        <v>52</v>
      </c>
      <c r="B112" s="3401"/>
      <c r="C112" s="882" t="s">
        <v>727</v>
      </c>
      <c r="D112" s="818" t="s">
        <v>728</v>
      </c>
      <c r="E112" s="895">
        <v>0.2</v>
      </c>
      <c r="F112" s="882">
        <v>30</v>
      </c>
    </row>
    <row r="113" spans="1:6" s="878" customFormat="1" ht="36">
      <c r="A113" s="882">
        <v>53</v>
      </c>
      <c r="B113" s="340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401" t="s">
        <v>737</v>
      </c>
      <c r="C116" s="882" t="s">
        <v>738</v>
      </c>
      <c r="D116" s="818" t="s">
        <v>739</v>
      </c>
      <c r="E116" s="895">
        <v>0.2</v>
      </c>
      <c r="F116" s="882">
        <v>30</v>
      </c>
    </row>
    <row r="117" spans="1:6" ht="36">
      <c r="A117" s="882">
        <v>57</v>
      </c>
      <c r="B117" s="340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7.399999999999999">
      <c r="A3" s="3083" t="str">
        <f>IF(项目基本情况!B9="房地产市场价值","估价结果一览表（市场价值不需“结果表-1”）","估价结果一览表")</f>
        <v>估价结果一览表</v>
      </c>
      <c r="B3" s="3083"/>
      <c r="C3" s="3083"/>
      <c r="D3" s="3083"/>
      <c r="E3" s="3083"/>
    </row>
    <row r="4" spans="1:5" ht="18" thickBot="1">
      <c r="A4" s="1960"/>
      <c r="B4" s="3081" t="s">
        <v>1625</v>
      </c>
      <c r="C4" s="3081"/>
      <c r="D4" s="3081"/>
      <c r="E4" s="1960"/>
    </row>
    <row r="5" spans="1:5" ht="16.2" thickTop="1">
      <c r="A5" s="1958"/>
      <c r="B5" s="3079" t="s">
        <v>1617</v>
      </c>
      <c r="C5" s="1961" t="s">
        <v>1618</v>
      </c>
      <c r="D5" s="1040">
        <f ca="1">结果表!H101</f>
        <v>54479</v>
      </c>
      <c r="E5" s="1958"/>
    </row>
    <row r="6" spans="1:5" ht="15.6">
      <c r="A6" s="1958"/>
      <c r="B6" s="3079"/>
      <c r="C6" s="1961" t="s">
        <v>1619</v>
      </c>
      <c r="D6" s="1040" t="str">
        <f ca="1">NUMBERSTRING(INT(D5*10000),2)&amp;"元整"</f>
        <v>伍亿肆仟肆佰柒拾玖万元整</v>
      </c>
      <c r="E6" s="1958"/>
    </row>
    <row r="7" spans="1:5" ht="15.6">
      <c r="A7" s="1958"/>
      <c r="B7" s="3084"/>
      <c r="C7" s="1962" t="s">
        <v>1620</v>
      </c>
      <c r="D7" s="1041">
        <f ca="1">结果表!H102</f>
        <v>10023</v>
      </c>
      <c r="E7" s="1958"/>
    </row>
    <row r="8" spans="1:5" ht="15.6">
      <c r="A8" s="1958"/>
      <c r="B8" s="3085" t="str">
        <f>结果表!E103</f>
        <v>2.估价师知悉的法定优先受偿款</v>
      </c>
      <c r="C8" s="1963" t="s">
        <v>1621</v>
      </c>
      <c r="D8" s="1041">
        <f>结果表!H103</f>
        <v>409.62</v>
      </c>
      <c r="E8" s="1958"/>
    </row>
    <row r="9" spans="1:5" ht="15.6">
      <c r="A9" s="1958"/>
      <c r="B9" s="3087"/>
      <c r="C9" s="1961" t="s">
        <v>1619</v>
      </c>
      <c r="D9" s="1040" t="str">
        <f>NUMBERSTRING(INT(D8*10000),2)&amp;"元整"</f>
        <v>肆佰零玖万陆仟贰佰元整</v>
      </c>
      <c r="E9" s="1958"/>
    </row>
    <row r="10" spans="1:5" ht="15.6">
      <c r="A10" s="1958"/>
      <c r="B10" s="1964" t="s">
        <v>1624</v>
      </c>
      <c r="C10" s="1965" t="s">
        <v>1622</v>
      </c>
      <c r="D10" s="1042">
        <f>结果表!H104</f>
        <v>0</v>
      </c>
      <c r="E10" s="1958"/>
    </row>
    <row r="11" spans="1:5" ht="15.6">
      <c r="A11" s="1958"/>
      <c r="B11" s="1964" t="s">
        <v>1626</v>
      </c>
      <c r="C11" s="1965" t="s">
        <v>1627</v>
      </c>
      <c r="D11" s="1042">
        <f>结果表!H105</f>
        <v>409.62</v>
      </c>
      <c r="E11" s="1958"/>
    </row>
    <row r="12" spans="1:5" ht="15.6">
      <c r="A12" s="1958"/>
      <c r="B12" s="1964" t="s">
        <v>1628</v>
      </c>
      <c r="C12" s="1965" t="s">
        <v>1627</v>
      </c>
      <c r="D12" s="1042">
        <f>结果表!H106</f>
        <v>0</v>
      </c>
      <c r="E12" s="1958"/>
    </row>
    <row r="13" spans="1:5" ht="15.6">
      <c r="A13" s="1958"/>
      <c r="B13" s="3078" t="str">
        <f>结果表!E107</f>
        <v>3.房地产抵押价值</v>
      </c>
      <c r="C13" s="1966" t="s">
        <v>1618</v>
      </c>
      <c r="D13" s="1043">
        <f ca="1">结果表!H107</f>
        <v>54069.38</v>
      </c>
      <c r="E13" s="1958"/>
    </row>
    <row r="14" spans="1:5" ht="31.2">
      <c r="A14" s="1958"/>
      <c r="B14" s="3079"/>
      <c r="C14" s="1961" t="s">
        <v>1619</v>
      </c>
      <c r="D14" s="1040" t="str">
        <f ca="1">NUMBERSTRING(INT(D13*10000),2)&amp;"元整"</f>
        <v>伍亿肆仟零陆拾玖万叁仟捌佰元整</v>
      </c>
      <c r="E14" s="1958"/>
    </row>
    <row r="15" spans="1:5" ht="15.6">
      <c r="A15" s="1958"/>
      <c r="B15" s="3084"/>
      <c r="C15" s="1962" t="s">
        <v>1629</v>
      </c>
      <c r="D15" s="1052">
        <f ca="1">结果表!H108</f>
        <v>9747</v>
      </c>
      <c r="E15" s="1958"/>
    </row>
    <row r="16" spans="1:5" ht="15.6">
      <c r="A16" s="1958"/>
      <c r="B16" s="3085" t="str">
        <f>结果表!E109</f>
        <v>——</v>
      </c>
      <c r="C16" s="1966" t="s">
        <v>1630</v>
      </c>
      <c r="D16" s="1967" t="str">
        <f>结果表!H109</f>
        <v>——</v>
      </c>
      <c r="E16" s="1958"/>
    </row>
    <row r="17" spans="1:5" ht="15.6">
      <c r="A17" s="1958"/>
      <c r="B17" s="3086"/>
      <c r="C17" s="1961" t="s">
        <v>1631</v>
      </c>
      <c r="D17" s="1040" t="e">
        <f>NUMBERSTRING(INT(D16*10000),2)&amp;"元整"</f>
        <v>#VALUE!</v>
      </c>
      <c r="E17" s="1958"/>
    </row>
    <row r="18" spans="1:5" ht="15.6">
      <c r="A18" s="1958"/>
      <c r="B18" s="3087"/>
      <c r="C18" s="1962" t="s">
        <v>1620</v>
      </c>
      <c r="D18" s="1052" t="str">
        <f>结果表!H110</f>
        <v>——</v>
      </c>
      <c r="E18" s="1958"/>
    </row>
    <row r="19" spans="1:5" ht="15.6">
      <c r="A19" s="1958"/>
      <c r="B19" s="3078" t="str">
        <f>结果表!E111</f>
        <v>——</v>
      </c>
      <c r="C19" s="1966" t="s">
        <v>1618</v>
      </c>
      <c r="D19" s="1041" t="str">
        <f>结果表!H111</f>
        <v>——</v>
      </c>
      <c r="E19" s="1958"/>
    </row>
    <row r="20" spans="1:5" ht="15.6">
      <c r="A20" s="1958"/>
      <c r="B20" s="3079"/>
      <c r="C20" s="1961" t="s">
        <v>1631</v>
      </c>
      <c r="D20" s="1040" t="e">
        <f>NUMBERSTRING(INT(D19*10000),2)&amp;"元整"</f>
        <v>#VALUE!</v>
      </c>
      <c r="E20" s="1958"/>
    </row>
    <row r="21" spans="1:5" ht="16.2" thickBot="1">
      <c r="A21" s="1958"/>
      <c r="B21" s="3080"/>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9" t="s">
        <v>2987</v>
      </c>
    </row>
    <row r="2" spans="1:5" ht="15.6">
      <c r="A2" s="2897" t="s">
        <v>2979</v>
      </c>
      <c r="B2" s="2898" t="e">
        <f ca="1">SUMIF(B6:B13,"&lt;&gt;#ref!",B6:B13)</f>
        <v>#DIV/0!</v>
      </c>
      <c r="C2" s="2897" t="s">
        <v>2980</v>
      </c>
      <c r="D2" s="2897" t="s">
        <v>2981</v>
      </c>
      <c r="E2" s="2898">
        <f ca="1">SUMIF(E6:E13,"&lt;&gt;#ref!",E6:E13)</f>
        <v>0</v>
      </c>
    </row>
    <row r="3" spans="1:5" ht="15.6">
      <c r="A3" s="2897" t="s">
        <v>2982</v>
      </c>
      <c r="B3" s="2898" t="e">
        <f ca="1">ROUND(B2*10000/E2,0)</f>
        <v>#DIV/0!</v>
      </c>
      <c r="C3" s="2897" t="s">
        <v>2988</v>
      </c>
      <c r="D3" s="2899"/>
      <c r="E3" s="2899"/>
    </row>
    <row r="4" spans="1:5" ht="15.6">
      <c r="A4" s="2900"/>
      <c r="B4" s="2899"/>
      <c r="C4" s="2899"/>
      <c r="D4" s="2899"/>
      <c r="E4" s="2899"/>
    </row>
    <row r="5" spans="1:5" ht="31.2">
      <c r="A5" s="2901" t="s">
        <v>2983</v>
      </c>
      <c r="B5" s="2897" t="s">
        <v>2984</v>
      </c>
      <c r="C5" s="2898"/>
      <c r="D5" s="2899"/>
      <c r="E5" s="2897" t="s">
        <v>2985</v>
      </c>
    </row>
    <row r="6" spans="1:5" ht="15.6">
      <c r="A6" s="2902" t="s">
        <v>2986</v>
      </c>
      <c r="B6" s="2898" t="e">
        <f ca="1">SUMIF(INDIRECT("'"&amp;A6&amp;"'"&amp;"!A:A"),"总价",INDIRECT("'"&amp;A6&amp;"'"&amp;"!B:B"))</f>
        <v>#DIV/0!</v>
      </c>
      <c r="C6" s="2897" t="s">
        <v>2980</v>
      </c>
      <c r="D6" s="2899"/>
      <c r="E6" s="2573">
        <f ca="1">SUMIF(INDIRECT("'"&amp;A6&amp;"'"&amp;"!C:C"),"建筑面积",INDIRECT("'"&amp;A6&amp;"'"&amp;"!D:D"))</f>
        <v>0</v>
      </c>
    </row>
    <row r="7" spans="1:5" ht="15.6">
      <c r="A7" s="2902"/>
      <c r="B7" s="2898" t="e">
        <f ca="1">SUMIF(INDIRECT("'"&amp;A7&amp;"'"&amp;"!A:A"),"总价",INDIRECT("'"&amp;A7&amp;"'"&amp;"!B:B"))</f>
        <v>#REF!</v>
      </c>
      <c r="C7" s="2897" t="s">
        <v>2980</v>
      </c>
      <c r="D7" s="2899"/>
      <c r="E7" s="2573" t="e">
        <f t="shared" ref="E7:E13" ca="1" si="0">SUMIF(INDIRECT("'"&amp;A7&amp;"'"&amp;"!C:C"),"建筑面积",INDIRECT("'"&amp;A7&amp;"'"&amp;"!D:D"))</f>
        <v>#REF!</v>
      </c>
    </row>
    <row r="8" spans="1:5" ht="15.6">
      <c r="A8" s="2902"/>
      <c r="B8" s="2898" t="e">
        <f t="shared" ref="B8:B13" ca="1" si="1">SUMIF(INDIRECT("'"&amp;A8&amp;"'"&amp;"!A:A"),"总价",INDIRECT("'"&amp;A8&amp;"'"&amp;"!B:B"))</f>
        <v>#REF!</v>
      </c>
      <c r="C8" s="2897" t="s">
        <v>2980</v>
      </c>
      <c r="D8" s="2899"/>
      <c r="E8" s="2573" t="e">
        <f t="shared" ca="1" si="0"/>
        <v>#REF!</v>
      </c>
    </row>
    <row r="9" spans="1:5" ht="15.6">
      <c r="A9" s="2902"/>
      <c r="B9" s="2898" t="e">
        <f t="shared" ca="1" si="1"/>
        <v>#REF!</v>
      </c>
      <c r="C9" s="2897" t="s">
        <v>2980</v>
      </c>
      <c r="D9" s="2899"/>
      <c r="E9" s="2573" t="e">
        <f t="shared" ca="1" si="0"/>
        <v>#REF!</v>
      </c>
    </row>
    <row r="10" spans="1:5" ht="15.6">
      <c r="A10" s="2902"/>
      <c r="B10" s="2898" t="e">
        <f t="shared" ca="1" si="1"/>
        <v>#REF!</v>
      </c>
      <c r="C10" s="2897" t="s">
        <v>2980</v>
      </c>
      <c r="D10" s="2899"/>
      <c r="E10" s="2573" t="e">
        <f t="shared" ca="1" si="0"/>
        <v>#REF!</v>
      </c>
    </row>
    <row r="11" spans="1:5" ht="15.6">
      <c r="A11" s="2902"/>
      <c r="B11" s="2898" t="e">
        <f t="shared" ca="1" si="1"/>
        <v>#REF!</v>
      </c>
      <c r="C11" s="2897" t="s">
        <v>2980</v>
      </c>
      <c r="D11" s="2899"/>
      <c r="E11" s="2573" t="e">
        <f t="shared" ca="1" si="0"/>
        <v>#REF!</v>
      </c>
    </row>
    <row r="12" spans="1:5" ht="15.6">
      <c r="A12" s="2902"/>
      <c r="B12" s="2898" t="e">
        <f t="shared" ca="1" si="1"/>
        <v>#REF!</v>
      </c>
      <c r="C12" s="2897" t="s">
        <v>2980</v>
      </c>
      <c r="D12" s="2899"/>
      <c r="E12" s="2573" t="e">
        <f t="shared" ca="1" si="0"/>
        <v>#REF!</v>
      </c>
    </row>
    <row r="13" spans="1:5" ht="15.6">
      <c r="A13" s="2902"/>
      <c r="B13" s="2898" t="e">
        <f t="shared" ca="1" si="1"/>
        <v>#REF!</v>
      </c>
      <c r="C13" s="2897" t="s">
        <v>2980</v>
      </c>
      <c r="D13" s="289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407" t="s">
        <v>1146</v>
      </c>
      <c r="C1" s="3407"/>
      <c r="D1" s="3407"/>
      <c r="E1" s="3407"/>
      <c r="F1" s="3407"/>
      <c r="G1" s="3403" t="s">
        <v>1147</v>
      </c>
      <c r="H1" s="3403"/>
      <c r="I1" s="3403"/>
      <c r="J1" s="3403"/>
      <c r="K1" s="3403"/>
      <c r="L1" s="3403"/>
      <c r="N1" s="3403" t="s">
        <v>1148</v>
      </c>
      <c r="O1" s="3403"/>
      <c r="P1" s="3403"/>
      <c r="Q1" s="3403"/>
      <c r="R1" s="1446"/>
      <c r="S1" s="3403" t="s">
        <v>1149</v>
      </c>
      <c r="T1" s="3403"/>
      <c r="U1" s="3403"/>
      <c r="V1" s="3403"/>
      <c r="X1" s="3402" t="s">
        <v>1150</v>
      </c>
      <c r="Y1" s="3403"/>
      <c r="Z1" s="3403"/>
      <c r="AA1" s="3403"/>
      <c r="AB1" s="3403"/>
      <c r="AD1" s="3402" t="s">
        <v>1151</v>
      </c>
      <c r="AE1" s="3403"/>
      <c r="AF1" s="3403"/>
      <c r="AG1" s="3403"/>
      <c r="AH1" s="3403"/>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3" customFormat="1" ht="14.4">
      <c r="A3" s="2922" t="s">
        <v>3022</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3" customFormat="1" ht="14.4">
      <c r="B4" s="1454"/>
      <c r="C4" s="1454"/>
      <c r="D4" s="1455"/>
      <c r="E4" s="1455"/>
      <c r="F4" s="1454"/>
      <c r="G4" s="1456"/>
      <c r="H4" s="1457"/>
      <c r="I4" s="2908"/>
      <c r="J4" s="2908"/>
      <c r="K4" s="2908"/>
      <c r="L4" s="2908"/>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3039</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2">
        <v>2019</v>
      </c>
      <c r="H5" s="1730">
        <v>3</v>
      </c>
      <c r="I5" s="2909">
        <v>0</v>
      </c>
      <c r="J5" s="2909">
        <v>0</v>
      </c>
      <c r="K5" s="2909">
        <v>0</v>
      </c>
      <c r="L5" s="2909">
        <v>0</v>
      </c>
      <c r="N5" s="1467">
        <f>I5/100</f>
        <v>0</v>
      </c>
      <c r="O5" s="1467">
        <f t="shared" ref="O5" si="7">J5/100</f>
        <v>0</v>
      </c>
      <c r="P5" s="1467">
        <f t="shared" ref="P5" si="8">K5/100</f>
        <v>0</v>
      </c>
      <c r="Q5" s="1467">
        <f t="shared" ref="Q5" si="9">L5/100</f>
        <v>0</v>
      </c>
      <c r="R5" s="1732"/>
      <c r="S5" s="1733"/>
      <c r="T5" s="1732"/>
      <c r="U5" s="1732"/>
      <c r="V5" s="1732"/>
      <c r="W5" s="2912" t="s">
        <v>3023</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3038</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2">
        <v>2019</v>
      </c>
      <c r="H6" s="1462">
        <v>2</v>
      </c>
      <c r="I6" s="2946">
        <v>1.53</v>
      </c>
      <c r="J6" s="2946">
        <v>1.01</v>
      </c>
      <c r="K6" s="2946">
        <v>1.62</v>
      </c>
      <c r="L6" s="2947">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8" thickBot="1">
      <c r="A7" s="1461" t="s">
        <v>3035</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6">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3040</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405">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 customHeight="1">
      <c r="A9" s="1461" t="s">
        <v>3029</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405"/>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 customHeight="1">
      <c r="A10" s="1461" t="s">
        <v>3028</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405"/>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3021</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41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3018</v>
      </c>
      <c r="B12" s="1469">
        <v>439</v>
      </c>
      <c r="C12" s="1469">
        <v>327</v>
      </c>
      <c r="D12" s="1469">
        <f>C12</f>
        <v>327</v>
      </c>
      <c r="E12" s="1469">
        <v>627</v>
      </c>
      <c r="F12" s="1470">
        <v>283</v>
      </c>
      <c r="G12" s="340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3019</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405"/>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405"/>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41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40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405"/>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405"/>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406"/>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404">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405"/>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405"/>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406"/>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404">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405"/>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405"/>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406"/>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8" thickBot="1">
      <c r="A28" s="1461" t="s">
        <v>1159</v>
      </c>
      <c r="B28" s="1469">
        <v>299</v>
      </c>
      <c r="C28" s="1469">
        <v>252</v>
      </c>
      <c r="D28" s="1469">
        <f t="shared" si="97"/>
        <v>252</v>
      </c>
      <c r="E28" s="1469">
        <v>409</v>
      </c>
      <c r="F28" s="1470">
        <v>227</v>
      </c>
      <c r="G28" s="340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41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41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41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404">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405"/>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405"/>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406"/>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404">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405">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405">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406">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404">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405">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405">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406">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404">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405">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405">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406">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404">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405">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405">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406">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404">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405">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405">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406">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404">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405">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405">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406">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404">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405">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405">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406">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404">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405">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405">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406">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404">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405">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405">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406">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404">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405">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405">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406">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414" t="s">
        <v>2990</v>
      </c>
      <c r="D1" s="3415"/>
      <c r="E1" s="3415"/>
      <c r="F1" s="3415"/>
      <c r="G1" s="3415"/>
      <c r="H1" s="3415"/>
      <c r="I1" s="3415"/>
      <c r="J1" s="3415"/>
      <c r="K1" s="3415"/>
      <c r="L1" s="3415"/>
      <c r="M1" s="3415"/>
      <c r="N1" s="3415"/>
      <c r="O1" s="3415"/>
      <c r="P1" s="3415"/>
      <c r="Q1" s="3415"/>
      <c r="R1" s="3415"/>
      <c r="S1" s="3416"/>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2999</v>
      </c>
      <c r="B17" s="2904"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5" t="s">
        <v>3001</v>
      </c>
      <c r="E19" s="1792"/>
      <c r="F19" s="1792"/>
      <c r="G19" s="1792"/>
      <c r="H19" s="1280"/>
      <c r="I19" s="168"/>
      <c r="J19" s="168"/>
      <c r="K19" s="168"/>
      <c r="L19" s="168"/>
      <c r="M19" s="168"/>
      <c r="N19" s="168"/>
      <c r="O19" s="168"/>
      <c r="P19" s="168"/>
      <c r="Q19" s="168"/>
      <c r="R19" s="788"/>
      <c r="S19" s="138"/>
    </row>
    <row r="20" spans="1:45" ht="16.2" thickBot="1">
      <c r="A20" s="715" t="s">
        <v>3002</v>
      </c>
      <c r="B20" s="338" t="e">
        <f ca="1">IF(D20="——",S22,S22-F20)</f>
        <v>#REF!</v>
      </c>
      <c r="C20" s="168"/>
      <c r="D20" s="2906" t="s">
        <v>3003</v>
      </c>
      <c r="E20" s="1793"/>
      <c r="F20" s="1204" t="e">
        <f ca="1">SUMIF(INDIRECT("'"&amp;H20&amp;"'"&amp;"!A:A"),"承租人权益价值",INDIRECT("'"&amp;H20&amp;"'"&amp;"!c:c"))</f>
        <v>#REF!</v>
      </c>
      <c r="G20" s="1204" t="s">
        <v>3004</v>
      </c>
      <c r="H20" s="2907"/>
      <c r="I20" s="168"/>
      <c r="J20" s="168"/>
      <c r="K20" s="168"/>
      <c r="L20" s="168"/>
      <c r="M20" s="168"/>
      <c r="N20" s="168"/>
      <c r="O20" s="168"/>
      <c r="P20" s="168"/>
      <c r="Q20" s="168"/>
      <c r="R20" s="788"/>
      <c r="S20" s="138"/>
    </row>
    <row r="21" spans="1:45" ht="15.6">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178" t="s">
        <v>33</v>
      </c>
      <c r="D22" s="3179"/>
      <c r="E22" s="3179"/>
      <c r="F22" s="3179"/>
      <c r="G22" s="3179"/>
      <c r="H22" s="3179"/>
      <c r="I22" s="3179"/>
      <c r="J22" s="3179"/>
      <c r="K22" s="3179"/>
      <c r="L22" s="3179"/>
      <c r="M22" s="3179"/>
      <c r="N22" s="3179"/>
      <c r="O22" s="3179"/>
      <c r="P22" s="3179"/>
      <c r="Q22" s="3413"/>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44715</v>
      </c>
      <c r="C2" s="2" t="s">
        <v>133</v>
      </c>
      <c r="D2" s="243"/>
      <c r="E2" s="243"/>
      <c r="F2" s="243"/>
      <c r="G2" s="243"/>
    </row>
    <row r="3" spans="1:7" s="244" customFormat="1" ht="18" customHeight="1" thickBot="1">
      <c r="A3" s="247" t="s">
        <v>85</v>
      </c>
      <c r="B3" s="248">
        <f ca="1">ROUND(B2*10000/'数据-汇总表'!E3,0)</f>
        <v>8060</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544</v>
      </c>
      <c r="D9" s="1032">
        <f>'数据-汇总表'!E5</f>
        <v>54353.540000000015</v>
      </c>
      <c r="E9" s="269">
        <f>'数据-取费表'!B27</f>
        <v>100</v>
      </c>
      <c r="F9" s="265"/>
      <c r="G9" s="270"/>
    </row>
    <row r="10" spans="1:7" s="258" customFormat="1" ht="13.5" customHeight="1">
      <c r="A10" s="950" t="s">
        <v>801</v>
      </c>
      <c r="B10" s="268" t="s">
        <v>94</v>
      </c>
      <c r="C10" s="269">
        <f>ROUND(D10*E10/10000,0)</f>
        <v>11</v>
      </c>
      <c r="D10" s="1032">
        <f>'数据-汇总表'!E6</f>
        <v>1120.9199999999983</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1109</v>
      </c>
      <c r="D19" s="1036">
        <f>'数据-汇总表'!E3</f>
        <v>55474.460000000014</v>
      </c>
      <c r="E19" s="255">
        <f>'数据-取费表'!B31</f>
        <v>200</v>
      </c>
      <c r="F19" s="275"/>
      <c r="G19" s="1" t="s">
        <v>1071</v>
      </c>
    </row>
    <row r="20" spans="1:7" s="258" customFormat="1" ht="13.5" customHeight="1">
      <c r="A20" s="948" t="s">
        <v>1054</v>
      </c>
      <c r="B20" s="254" t="s">
        <v>104</v>
      </c>
      <c r="C20" s="276">
        <f>ROUND((C5+C19)*F20,0)</f>
        <v>658</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1383</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1294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6.4">
      <c r="A27" s="948" t="s">
        <v>787</v>
      </c>
      <c r="B27" s="288" t="s">
        <v>112</v>
      </c>
      <c r="C27" s="289">
        <f>C28</f>
        <v>1761</v>
      </c>
      <c r="D27" s="279">
        <f>C29</f>
        <v>2.3E-3</v>
      </c>
      <c r="E27" s="280" t="s">
        <v>126</v>
      </c>
      <c r="F27" s="290">
        <f>'数据-取费表'!Q16</f>
        <v>0.15</v>
      </c>
      <c r="G27" s="291" t="s">
        <v>1066</v>
      </c>
    </row>
    <row r="28" spans="1:7" s="258" customFormat="1" ht="13.5" customHeight="1">
      <c r="A28" s="951" t="s">
        <v>794</v>
      </c>
      <c r="B28" s="292" t="s">
        <v>1059</v>
      </c>
      <c r="C28" s="293">
        <f>ROUND((C5+C19+C20)*F27*'数据-取费表'!B21/'数据-取费表'!B20,0)</f>
        <v>1761</v>
      </c>
      <c r="D28" s="279"/>
      <c r="E28" s="280"/>
      <c r="F28" s="290"/>
      <c r="G28" s="291"/>
    </row>
    <row r="29" spans="1:7" s="258" customFormat="1" ht="13.5" customHeight="1">
      <c r="A29" s="951" t="s">
        <v>792</v>
      </c>
      <c r="B29" s="292" t="s">
        <v>1060</v>
      </c>
      <c r="C29" s="282">
        <f>ROUND(C21*F27*'数据-取费表'!B21/'数据-取费表'!B20,4)</f>
        <v>2.3E-3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28158</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12408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10782</v>
      </c>
      <c r="D34" s="261"/>
      <c r="E34" s="264"/>
      <c r="F34" s="301">
        <f>IF('数据-取费表'!B24=0,1,'数据-取费表'!N16)</f>
        <v>0.55700000000000005</v>
      </c>
      <c r="G34" s="263" t="s">
        <v>116</v>
      </c>
    </row>
    <row r="35" spans="1:7" ht="13.5" customHeight="1">
      <c r="A35" s="951" t="s">
        <v>796</v>
      </c>
      <c r="B35" s="259" t="s">
        <v>60</v>
      </c>
      <c r="C35" s="264">
        <f>ROUND(C34*F35,0)</f>
        <v>323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523</v>
      </c>
      <c r="D36" s="264"/>
      <c r="E36" s="264"/>
      <c r="F36" s="303">
        <f>'数据-取费表'!B34</f>
        <v>0.05</v>
      </c>
      <c r="G36" s="304" t="s">
        <v>62</v>
      </c>
    </row>
    <row r="37" spans="1:7" s="302" customFormat="1" ht="13.5" customHeight="1">
      <c r="A37" s="951" t="s">
        <v>798</v>
      </c>
      <c r="B37" s="259" t="s">
        <v>118</v>
      </c>
      <c r="C37" s="293">
        <f>ROUND(E37*D37*F34/10000,0)</f>
        <v>618</v>
      </c>
      <c r="D37" s="261">
        <f>'数据-汇总表'!E3</f>
        <v>55474.460000000014</v>
      </c>
      <c r="E37" s="293">
        <f>'数据-取费表'!B35</f>
        <v>200</v>
      </c>
      <c r="F37" s="303"/>
      <c r="G37" s="305" t="s">
        <v>119</v>
      </c>
    </row>
    <row r="38" spans="1:7" ht="13.5" customHeight="1">
      <c r="A38" s="951" t="s">
        <v>799</v>
      </c>
      <c r="B38" s="259" t="s">
        <v>63</v>
      </c>
      <c r="C38" s="264">
        <f>ROUND(C34*F38,0)</f>
        <v>162</v>
      </c>
      <c r="D38" s="264"/>
      <c r="E38" s="264"/>
      <c r="F38" s="303">
        <f>'数据-取费表'!B36</f>
        <v>1.4999999999999999E-2</v>
      </c>
      <c r="G38" s="263" t="s">
        <v>117</v>
      </c>
    </row>
    <row r="39" spans="1:7" s="258" customFormat="1" ht="13.5" customHeight="1">
      <c r="A39" s="948" t="s">
        <v>783</v>
      </c>
      <c r="B39" s="254" t="s">
        <v>104</v>
      </c>
      <c r="C39" s="276">
        <f>ROUND(C33*F20,0)</f>
        <v>372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391</v>
      </c>
      <c r="D41" s="279">
        <f ca="1">C44</f>
        <v>8.9999999999999998E-4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380</v>
      </c>
      <c r="D42" s="282"/>
      <c r="E42" s="282"/>
      <c r="F42" s="283"/>
      <c r="G42" s="3263" t="s">
        <v>121</v>
      </c>
    </row>
    <row r="43" spans="1:7" ht="13.5" customHeight="1">
      <c r="A43" s="951" t="s">
        <v>792</v>
      </c>
      <c r="B43" s="259" t="s">
        <v>1061</v>
      </c>
      <c r="C43" s="282">
        <f ca="1">ROUND(IF('数据-取费表'!B22&lt;=1,C39*F22*'数据-取费表'!B21/2,C39*(POWER((1+F22),'数据-取费表'!B21/2)-1)),0)</f>
        <v>11</v>
      </c>
      <c r="D43" s="282"/>
      <c r="E43" s="282"/>
      <c r="F43" s="283"/>
      <c r="G43" s="3264"/>
    </row>
    <row r="44" spans="1:7" ht="13.5" customHeight="1">
      <c r="A44" s="951" t="s">
        <v>793</v>
      </c>
      <c r="B44" s="259" t="s">
        <v>1063</v>
      </c>
      <c r="C44" s="282">
        <f ca="1">ROUND(IF('数据-取费表'!B22&lt;=1,C40*F22*'数据-取费表'!B21/2,C40*(POWER((1+F22),'数据-取费表'!B21/2)-1)),4)</f>
        <v>8.9999999999999998E-4</v>
      </c>
      <c r="D44" s="282"/>
      <c r="E44" s="282"/>
      <c r="F44" s="283"/>
      <c r="G44" s="3265"/>
    </row>
    <row r="45" spans="1:7" s="258" customFormat="1" ht="13.5" customHeight="1">
      <c r="A45" s="948" t="s">
        <v>786</v>
      </c>
      <c r="B45" s="288" t="s">
        <v>112</v>
      </c>
      <c r="C45" s="289">
        <f>C46</f>
        <v>1917</v>
      </c>
      <c r="D45" s="279">
        <f>C47</f>
        <v>4.4999999999999997E-3</v>
      </c>
      <c r="E45" s="280" t="s">
        <v>129</v>
      </c>
      <c r="F45" s="290"/>
      <c r="G45" s="291" t="s">
        <v>1069</v>
      </c>
    </row>
    <row r="46" spans="1:7" s="258" customFormat="1" ht="13.5" customHeight="1">
      <c r="A46" s="951" t="s">
        <v>794</v>
      </c>
      <c r="B46" s="292" t="s">
        <v>1062</v>
      </c>
      <c r="C46" s="293">
        <f>ROUND((C33+C39)*F27,0)</f>
        <v>1917</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16557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16557</v>
      </c>
      <c r="D51" s="276"/>
      <c r="E51" s="276"/>
      <c r="F51" s="308"/>
      <c r="G51" s="278" t="s">
        <v>64</v>
      </c>
    </row>
    <row r="52" spans="1:7" s="252" customFormat="1" ht="16.8" thickBot="1">
      <c r="A52" s="309" t="s">
        <v>65</v>
      </c>
      <c r="B52" s="310"/>
      <c r="C52" s="311">
        <f ca="1">C31+C51</f>
        <v>44715</v>
      </c>
      <c r="D52" s="310"/>
      <c r="E52" s="310"/>
      <c r="F52" s="310"/>
      <c r="G52" s="312"/>
    </row>
    <row r="55" spans="1:7" ht="15">
      <c r="B55" s="314" t="s">
        <v>66</v>
      </c>
      <c r="C55" s="315"/>
    </row>
    <row r="56" spans="1:7">
      <c r="B56" s="317" t="s">
        <v>67</v>
      </c>
      <c r="C56" s="318">
        <f ca="1">ROUND(C51/C52,3)</f>
        <v>0.37</v>
      </c>
    </row>
    <row r="57" spans="1:7">
      <c r="B57" s="317" t="s">
        <v>68</v>
      </c>
      <c r="C57" s="319">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417" t="s">
        <v>156</v>
      </c>
      <c r="B1" s="3417"/>
      <c r="C1" s="3417"/>
      <c r="D1" s="3417"/>
      <c r="E1" s="3417"/>
      <c r="F1" s="341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418" t="s">
        <v>169</v>
      </c>
      <c r="B2" s="3418"/>
      <c r="C2" s="3418"/>
      <c r="D2" s="3418"/>
      <c r="E2" s="3418"/>
      <c r="F2" s="341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1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2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417" t="s">
        <v>868</v>
      </c>
      <c r="B1" s="3417"/>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43724</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zoomScalePageLayoutView="80" workbookViewId="0">
      <selection activeCell="C32" sqref="C32"/>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3" t="s">
        <v>2106</v>
      </c>
      <c r="B1" s="2414"/>
      <c r="C1" s="2415" t="s">
        <v>1373</v>
      </c>
      <c r="D1" s="2414"/>
      <c r="E1" s="2414"/>
      <c r="F1" s="2416" t="s">
        <v>2107</v>
      </c>
      <c r="G1" s="2068" t="s">
        <v>2108</v>
      </c>
      <c r="H1" s="2417" t="str">
        <f>IF(G1="现房","——","估价对象范围")</f>
        <v>估价对象范围</v>
      </c>
      <c r="I1" s="2418" t="s">
        <v>3266</v>
      </c>
    </row>
    <row r="2" spans="1:12" ht="21.75" customHeight="1" thickBot="1">
      <c r="A2" s="3242" t="str">
        <f>项目基本情况!S2</f>
        <v>武汉市东西湖区A地块出让国有建设用地使用权及在建建筑物房地产</v>
      </c>
      <c r="B2" s="3243"/>
      <c r="C2" s="3243"/>
      <c r="D2" s="3243"/>
      <c r="E2" s="3243"/>
      <c r="F2" s="3243"/>
      <c r="G2" s="3243"/>
      <c r="H2" s="3243"/>
      <c r="I2" s="3244"/>
    </row>
    <row r="3" spans="1:12" ht="13.2">
      <c r="A3" s="3245" t="s">
        <v>2109</v>
      </c>
      <c r="B3" s="3246"/>
      <c r="C3" s="3246"/>
      <c r="D3" s="3246"/>
      <c r="E3" s="3246"/>
      <c r="F3" s="3246"/>
      <c r="G3" s="3246"/>
      <c r="H3" s="3246"/>
      <c r="I3" s="3246"/>
    </row>
    <row r="4" spans="1:12" ht="14.4">
      <c r="A4" s="2421" t="s">
        <v>2110</v>
      </c>
      <c r="B4" s="2422" t="s">
        <v>2111</v>
      </c>
      <c r="C4" s="2423" t="s">
        <v>3248</v>
      </c>
      <c r="D4" s="2423" t="s">
        <v>3250</v>
      </c>
      <c r="E4" s="3226" t="s">
        <v>2112</v>
      </c>
      <c r="F4" s="3239"/>
      <c r="G4" s="3239"/>
      <c r="H4" s="3239"/>
      <c r="I4" s="3227"/>
      <c r="K4" s="2424" t="str">
        <f>IF(ISNUMBER(FIND("比较法",'结果表 (商业)'!C4)),"比较法",IF(ISNUMBER(FIND("成本法",'结果表 (商业)'!C4)),"成本法",IF(ISNUMBER(FIND("假设开发法",'结果表 (商业)'!C4)),"假设开发法",IF(ISNUMBER(FIND("收益法",'结果表 (商业)'!C4)),"收益法","基准地价系数修正法"))))</f>
        <v>成本法</v>
      </c>
      <c r="L4" s="2424" t="str">
        <f>IF(ISNUMBER(FIND("比较法",'结果表 (商业)'!D4)),"比较法",IF(ISNUMBER(FIND("成本法",'结果表 (商业)'!D4)),"成本法",IF(ISNUMBER(FIND("假设开发法",'结果表 (商业)'!D4)),"假设开发法",IF(ISNUMBER(FIND("收益法",'结果表 (商业)'!D4)),"收益法","基准地价系数修正法"))))</f>
        <v>假设开发法</v>
      </c>
    </row>
    <row r="5" spans="1:12" ht="13.2">
      <c r="A5" s="3217" t="s">
        <v>2113</v>
      </c>
      <c r="B5" s="3143">
        <v>25</v>
      </c>
      <c r="C5" s="3247"/>
      <c r="D5" s="3235"/>
      <c r="E5" s="140" t="s">
        <v>2114</v>
      </c>
      <c r="F5" s="2425"/>
      <c r="G5" s="2425"/>
      <c r="H5" s="2425"/>
      <c r="I5" s="1831"/>
    </row>
    <row r="6" spans="1:12" ht="13.2">
      <c r="A6" s="3217"/>
      <c r="B6" s="3143"/>
      <c r="C6" s="3249"/>
      <c r="D6" s="3235"/>
      <c r="E6" s="140" t="s">
        <v>2115</v>
      </c>
      <c r="F6" s="2425"/>
      <c r="G6" s="2425"/>
      <c r="H6" s="2425"/>
      <c r="I6" s="1831"/>
    </row>
    <row r="7" spans="1:12" ht="13.2">
      <c r="A7" s="3217"/>
      <c r="B7" s="3143"/>
      <c r="C7" s="3248"/>
      <c r="D7" s="3235"/>
      <c r="E7" s="140" t="s">
        <v>2116</v>
      </c>
      <c r="F7" s="2425"/>
      <c r="G7" s="2425"/>
      <c r="H7" s="2425"/>
      <c r="I7" s="1831"/>
    </row>
    <row r="8" spans="1:12" ht="13.2">
      <c r="A8" s="3217" t="s">
        <v>2117</v>
      </c>
      <c r="B8" s="3143">
        <v>15</v>
      </c>
      <c r="C8" s="3247"/>
      <c r="D8" s="3235"/>
      <c r="E8" s="140" t="s">
        <v>2118</v>
      </c>
      <c r="F8" s="2425"/>
      <c r="G8" s="2425"/>
      <c r="H8" s="2425"/>
      <c r="I8" s="1831"/>
    </row>
    <row r="9" spans="1:12" ht="13.2">
      <c r="A9" s="3217"/>
      <c r="B9" s="3143"/>
      <c r="C9" s="3248"/>
      <c r="D9" s="3235"/>
      <c r="E9" s="140" t="s">
        <v>2119</v>
      </c>
      <c r="F9" s="2425"/>
      <c r="G9" s="2425"/>
      <c r="H9" s="2425"/>
      <c r="I9" s="1831"/>
    </row>
    <row r="10" spans="1:12" ht="13.2">
      <c r="A10" s="3217" t="s">
        <v>2120</v>
      </c>
      <c r="B10" s="3143">
        <v>15</v>
      </c>
      <c r="C10" s="3247"/>
      <c r="D10" s="3235"/>
      <c r="E10" s="140" t="s">
        <v>2121</v>
      </c>
      <c r="F10" s="2425"/>
      <c r="G10" s="2425"/>
      <c r="H10" s="2425"/>
      <c r="I10" s="1831"/>
    </row>
    <row r="11" spans="1:12" ht="13.2">
      <c r="A11" s="3217"/>
      <c r="B11" s="3143"/>
      <c r="C11" s="3248"/>
      <c r="D11" s="3235"/>
      <c r="E11" s="140" t="s">
        <v>2122</v>
      </c>
      <c r="F11" s="2425"/>
      <c r="G11" s="2425"/>
      <c r="H11" s="2425"/>
      <c r="I11" s="1831"/>
    </row>
    <row r="12" spans="1:12" ht="13.2">
      <c r="A12" s="3217" t="s">
        <v>2123</v>
      </c>
      <c r="B12" s="3143">
        <v>15</v>
      </c>
      <c r="C12" s="3247"/>
      <c r="D12" s="3235"/>
      <c r="E12" s="140" t="s">
        <v>2124</v>
      </c>
      <c r="F12" s="2425"/>
      <c r="G12" s="2425"/>
      <c r="H12" s="2425"/>
      <c r="I12" s="1831"/>
    </row>
    <row r="13" spans="1:12" ht="13.2">
      <c r="A13" s="3217"/>
      <c r="B13" s="3143"/>
      <c r="C13" s="3248"/>
      <c r="D13" s="3235"/>
      <c r="E13" s="140" t="s">
        <v>2125</v>
      </c>
      <c r="F13" s="2425"/>
      <c r="G13" s="2425"/>
      <c r="H13" s="2425"/>
      <c r="I13" s="1831"/>
    </row>
    <row r="14" spans="1:12" ht="13.2">
      <c r="A14" s="3217" t="s">
        <v>2126</v>
      </c>
      <c r="B14" s="3143">
        <v>30</v>
      </c>
      <c r="C14" s="3247">
        <v>5</v>
      </c>
      <c r="D14" s="3235">
        <v>5</v>
      </c>
      <c r="E14" s="140" t="s">
        <v>2127</v>
      </c>
      <c r="F14" s="2425"/>
      <c r="G14" s="2425"/>
      <c r="H14" s="2425"/>
      <c r="I14" s="1831"/>
    </row>
    <row r="15" spans="1:12" ht="13.2">
      <c r="A15" s="3217"/>
      <c r="B15" s="3143"/>
      <c r="C15" s="3249"/>
      <c r="D15" s="3235"/>
      <c r="E15" s="140" t="s">
        <v>2128</v>
      </c>
      <c r="F15" s="2425"/>
      <c r="G15" s="2425"/>
      <c r="H15" s="2425"/>
      <c r="I15" s="1831"/>
    </row>
    <row r="16" spans="1:12" ht="13.2">
      <c r="A16" s="3217"/>
      <c r="B16" s="3143"/>
      <c r="C16" s="3248"/>
      <c r="D16" s="3235"/>
      <c r="E16" s="140" t="s">
        <v>2129</v>
      </c>
      <c r="F16" s="2425"/>
      <c r="G16" s="2425"/>
      <c r="H16" s="2425"/>
      <c r="I16" s="1831"/>
    </row>
    <row r="17" spans="1:35" ht="14.4">
      <c r="A17" s="2426" t="s">
        <v>2130</v>
      </c>
      <c r="B17" s="64"/>
      <c r="C17" s="141">
        <f>SUM(C5:C16)</f>
        <v>5</v>
      </c>
      <c r="D17" s="141">
        <f>SUM(D5:D16)</f>
        <v>5</v>
      </c>
      <c r="E17" s="138"/>
      <c r="F17" s="138"/>
      <c r="G17" s="138"/>
      <c r="H17" s="138"/>
      <c r="I17" s="138"/>
      <c r="K17" s="2424"/>
      <c r="L17" s="2427" t="s">
        <v>2131</v>
      </c>
      <c r="M17" s="2427" t="s">
        <v>2132</v>
      </c>
    </row>
    <row r="18" spans="1:35" ht="1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1120.92</v>
      </c>
      <c r="M18" s="2424">
        <f>IF(C1="",'数据-汇总表'!E3,SUMIF(项目类型,C1,'数据-汇总表'!E17:E26))</f>
        <v>1120.92</v>
      </c>
    </row>
    <row r="19" spans="1:35" ht="14.4">
      <c r="A19" s="2430" t="s">
        <v>2135</v>
      </c>
      <c r="B19" s="2431" t="s">
        <v>2136</v>
      </c>
      <c r="C19" s="143">
        <f ca="1">SUMIF(INDIRECT("'"&amp;C4&amp;"'"&amp;"!A:A"),'结果表 (商业)'!B19,INDIRECT("'"&amp;C4&amp;"'"&amp;"!B:B"))</f>
        <v>1319</v>
      </c>
      <c r="D19" s="144">
        <f ca="1">SUMIF(INDIRECT("'"&amp;D4&amp;"'"&amp;"!A:A"),'结果表 (商业)'!B19,INDIRECT("'"&amp;D4&amp;"'"&amp;"!B:B"))</f>
        <v>1207</v>
      </c>
      <c r="E19" s="2430" t="s">
        <v>2137</v>
      </c>
      <c r="F19" s="2431" t="s">
        <v>2136</v>
      </c>
      <c r="G19" s="3426">
        <f ca="1">ROUND(C19*$C$18+D19*$D$18,2)</f>
        <v>1263</v>
      </c>
      <c r="H19" s="2432" t="s">
        <v>2138</v>
      </c>
      <c r="I19" s="138"/>
      <c r="K19" s="2424" t="s">
        <v>2139</v>
      </c>
      <c r="L19" s="2424">
        <f>IF(C1="",'数据-汇总表'!D3,SUMIF(项目类型,C1,'数据-汇总表'!D17:D26)+SUMIF(项目类型,C1,'数据-汇总表'!H17:H27))</f>
        <v>334.96</v>
      </c>
      <c r="M19" s="2424">
        <f>IF(C1="",'数据-汇总表'!D3,SUMIF(项目类型,C1,'数据-汇总表'!D17:D26))</f>
        <v>334.96</v>
      </c>
    </row>
    <row r="20" spans="1:35" ht="14.4">
      <c r="A20" s="2433"/>
      <c r="B20" s="1247" t="s">
        <v>2140</v>
      </c>
      <c r="C20" s="146">
        <f ca="1">SUMIF(INDIRECT("'"&amp;C4&amp;"'"&amp;"!A:A"),'结果表 (商业)'!B20,INDIRECT("'"&amp;C4&amp;"'"&amp;"!B:B"))</f>
        <v>11767</v>
      </c>
      <c r="D20" s="147">
        <f ca="1">SUMIF(INDIRECT("'"&amp;D4&amp;"'"&amp;"!A:A"),'结果表 (商业)'!B20,INDIRECT("'"&amp;D4&amp;"'"&amp;"!B:B"))</f>
        <v>10768</v>
      </c>
      <c r="E20" s="2433"/>
      <c r="F20" s="1247" t="s">
        <v>2140</v>
      </c>
      <c r="G20" s="148">
        <f ca="1">ROUND(C20*$C$18+D20*$D$18,0)</f>
        <v>11268</v>
      </c>
      <c r="H20" s="980" t="s">
        <v>2141</v>
      </c>
      <c r="I20" s="138"/>
    </row>
    <row r="21" spans="1:35" ht="15" customHeight="1" thickBot="1">
      <c r="A21" s="1000"/>
      <c r="B21" s="2434" t="s">
        <v>2142</v>
      </c>
      <c r="C21" s="789">
        <f ca="1">ROUND(C19*10000/L19,0)</f>
        <v>39378</v>
      </c>
      <c r="D21" s="790">
        <f ca="1">ROUND(D19*10000/L19,0)</f>
        <v>36034</v>
      </c>
      <c r="E21" s="1000"/>
      <c r="F21" s="2434" t="s">
        <v>2142</v>
      </c>
      <c r="G21" s="149">
        <f ca="1">ROUND(G19*10000/L19,0)</f>
        <v>37706</v>
      </c>
      <c r="H21" s="2435" t="s">
        <v>2141</v>
      </c>
      <c r="I21" s="138"/>
    </row>
    <row r="22" spans="1:35" ht="15" thickBot="1">
      <c r="A22" s="2279" t="s">
        <v>2143</v>
      </c>
      <c r="B22" s="2436"/>
      <c r="C22" s="2437"/>
      <c r="D22" s="791">
        <f ca="1">IF(C19&lt;D19,D19/C19-1,C19/D19-1)</f>
        <v>9.2792046396023231E-2</v>
      </c>
      <c r="E22" s="138"/>
      <c r="F22" s="138"/>
      <c r="G22" s="138"/>
      <c r="H22" s="138"/>
      <c r="I22" s="138"/>
    </row>
    <row r="23" spans="1:35" ht="13.8" thickBot="1">
      <c r="A23" s="2414"/>
      <c r="B23" s="2414"/>
      <c r="C23" s="2414"/>
      <c r="D23" s="2414"/>
      <c r="E23" s="138"/>
      <c r="F23" s="138"/>
      <c r="G23" s="138"/>
      <c r="H23" s="138"/>
      <c r="I23" s="138"/>
    </row>
    <row r="24" spans="1:35" ht="14.4">
      <c r="A24" s="3256" t="s">
        <v>2144</v>
      </c>
      <c r="B24" s="2431" t="s">
        <v>2136</v>
      </c>
      <c r="C24" s="145">
        <f>IF(B30=0,0,D30)</f>
        <v>0</v>
      </c>
      <c r="D24" s="2438"/>
      <c r="E24" s="138"/>
      <c r="F24" s="138"/>
      <c r="G24" s="138"/>
      <c r="H24" s="138"/>
      <c r="I24" s="138"/>
    </row>
    <row r="25" spans="1:35" ht="14.4">
      <c r="A25" s="3257"/>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2149</v>
      </c>
      <c r="B30" s="151"/>
      <c r="C30" s="151"/>
      <c r="D30" s="151"/>
      <c r="E30" s="2910" t="s">
        <v>3020</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2150</v>
      </c>
      <c r="B32" s="2444"/>
      <c r="C32" s="153">
        <f ca="1">IF(D32="总价",G19-C24,G20-C25)</f>
        <v>11268</v>
      </c>
      <c r="D32" s="2445" t="s">
        <v>3840</v>
      </c>
      <c r="E32" s="138"/>
      <c r="F32" s="138"/>
      <c r="G32" s="138"/>
      <c r="H32" s="138"/>
      <c r="I32" s="138"/>
    </row>
    <row r="33" spans="1:15" ht="14.4">
      <c r="A33" s="957" t="s">
        <v>2151</v>
      </c>
      <c r="B33" s="2446"/>
      <c r="C33" s="2447" t="s">
        <v>3227</v>
      </c>
      <c r="D33" s="2448" t="s">
        <v>3219</v>
      </c>
      <c r="E33" s="2449" t="s">
        <v>2152</v>
      </c>
      <c r="F33" s="2990" t="str">
        <f>IF(D32="楼面单价","取值（单价）","取值（总价）")</f>
        <v>取值（单价）</v>
      </c>
      <c r="G33" s="138"/>
      <c r="H33" s="138"/>
      <c r="I33" s="138"/>
    </row>
    <row r="34" spans="1:15" ht="14.4">
      <c r="A34" s="2451"/>
      <c r="B34" s="2452" t="s">
        <v>2153</v>
      </c>
      <c r="C34" s="157">
        <f ca="1">IF(C33="自定义",F34,C32-C35)</f>
        <v>7978</v>
      </c>
      <c r="D34" s="1055">
        <f ca="1">IF(C33="自定义",ROUND(C34/C32,3),IF(C33="收益比率",SUMIF(INDIRECT("'"&amp;D33&amp;"'"&amp;"!b:b"),"土地收益比率",INDIRECT("'"&amp;D33&amp;"'"&amp;"!c:c")),SUMIF(INDIRECT("'"&amp;D33&amp;"'"&amp;"!b:b"),"土地成本比率",INDIRECT("'"&amp;D33&amp;"'"&amp;"!c:c"))))</f>
        <v>0.70799999999999996</v>
      </c>
      <c r="E34" s="2453" t="s">
        <v>2154</v>
      </c>
      <c r="F34" s="1736"/>
      <c r="G34" s="138"/>
      <c r="H34" s="138"/>
      <c r="I34" s="138"/>
    </row>
    <row r="35" spans="1:15" ht="15" thickBot="1">
      <c r="A35" s="2454"/>
      <c r="B35" s="2455" t="s">
        <v>2155</v>
      </c>
      <c r="C35" s="1441">
        <f ca="1">IF(C33="自定义",F35,ROUND(C32*D35,0))</f>
        <v>3290</v>
      </c>
      <c r="D35" s="1442">
        <f ca="1">IF(C33="自定义",ROUND(C35/C32,3),IF(C33="收益比率",SUMIF(INDIRECT("'"&amp;D33&amp;"'"&amp;"!b:b"),"建筑物收益比率",INDIRECT("'"&amp;D33&amp;"'"&amp;"!c:c")),SUMIF(INDIRECT("'"&amp;D33&amp;"'"&amp;"!b:b"),"建筑物成本比率",INDIRECT("'"&amp;D33&amp;"'"&amp;"!c:c"))))</f>
        <v>0.29199999999999998</v>
      </c>
      <c r="E35" s="2456" t="s">
        <v>2156</v>
      </c>
      <c r="F35" s="163"/>
      <c r="G35" s="138"/>
      <c r="H35" s="138"/>
      <c r="I35" s="138"/>
    </row>
    <row r="36" spans="1:15" ht="15" thickBot="1">
      <c r="A36" s="3236" t="s">
        <v>2157</v>
      </c>
      <c r="B36" s="2457" t="s">
        <v>2158</v>
      </c>
      <c r="C36" s="154"/>
      <c r="D36" s="2458"/>
      <c r="E36" s="2459"/>
      <c r="F36" s="2460"/>
      <c r="G36" s="138"/>
      <c r="H36" s="138"/>
      <c r="I36" s="138"/>
    </row>
    <row r="37" spans="1:15" ht="15" thickBot="1">
      <c r="A37" s="3237"/>
      <c r="B37" s="2265" t="s">
        <v>2159</v>
      </c>
      <c r="C37" s="156"/>
      <c r="D37" s="1392"/>
      <c r="E37" s="1392"/>
      <c r="F37" s="2460"/>
      <c r="G37" s="138"/>
      <c r="H37" s="138"/>
      <c r="I37" s="138"/>
    </row>
    <row r="38" spans="1:15" ht="15" thickBot="1">
      <c r="A38" s="3238"/>
      <c r="B38" s="2461" t="s">
        <v>2160</v>
      </c>
      <c r="C38" s="727"/>
      <c r="D38" s="2462" t="s">
        <v>2161</v>
      </c>
      <c r="E38" s="1392"/>
      <c r="F38" s="2460"/>
      <c r="G38" s="138"/>
      <c r="H38" s="138"/>
      <c r="I38" s="138"/>
    </row>
    <row r="39" spans="1:15" ht="14.4">
      <c r="A39" s="2433" t="s">
        <v>2162</v>
      </c>
      <c r="B39" s="2463" t="s">
        <v>2146</v>
      </c>
      <c r="C39" s="2464" t="s">
        <v>2147</v>
      </c>
      <c r="D39" s="2464" t="s">
        <v>2165</v>
      </c>
      <c r="E39" s="2465" t="s">
        <v>2148</v>
      </c>
      <c r="F39" s="2460"/>
      <c r="G39" s="138"/>
      <c r="H39" s="138"/>
      <c r="I39" s="138"/>
    </row>
    <row r="40" spans="1:15" ht="13.8">
      <c r="A40" s="2466" t="s">
        <v>2167</v>
      </c>
      <c r="B40" s="158"/>
      <c r="C40" s="159"/>
      <c r="D40" s="159"/>
      <c r="E40" s="160"/>
      <c r="F40" s="2460"/>
      <c r="G40" s="138"/>
      <c r="H40" s="138"/>
      <c r="I40" s="138"/>
    </row>
    <row r="41" spans="1:15" ht="13.8">
      <c r="A41" s="2466" t="s">
        <v>2168</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3"/>
      <c r="B43" s="2163"/>
      <c r="C43" s="2163"/>
      <c r="D43" s="2163"/>
      <c r="E43" s="2163"/>
      <c r="F43" s="2468"/>
      <c r="G43" s="2468"/>
      <c r="H43" s="2468"/>
      <c r="I43" s="2469"/>
    </row>
    <row r="44" spans="1:15" ht="17.399999999999999" hidden="1">
      <c r="A44" s="2470" t="s">
        <v>2169</v>
      </c>
      <c r="B44" s="2471"/>
      <c r="C44" s="2471"/>
      <c r="D44" s="2472"/>
      <c r="E44" s="2472"/>
      <c r="F44" s="2473"/>
      <c r="G44" s="2473"/>
      <c r="H44" s="2473"/>
      <c r="I44" s="2473"/>
      <c r="J44" s="2474" t="s">
        <v>2170</v>
      </c>
      <c r="K44" s="2475"/>
      <c r="L44" s="2475"/>
      <c r="M44" s="2475"/>
      <c r="N44" s="2475"/>
      <c r="O44" s="2475"/>
    </row>
    <row r="45" spans="1:15" ht="14.25" hidden="1" customHeight="1" thickBot="1">
      <c r="A45" s="3253" t="s">
        <v>2171</v>
      </c>
      <c r="B45" s="3254"/>
      <c r="C45" s="3255"/>
      <c r="D45" s="164">
        <f ca="1">ROUND(H101*F45,0)</f>
        <v>1263</v>
      </c>
      <c r="E45" s="165" t="s">
        <v>2172</v>
      </c>
      <c r="F45" s="166">
        <v>1</v>
      </c>
      <c r="G45" s="167" t="s">
        <v>2173</v>
      </c>
      <c r="H45" s="138"/>
      <c r="I45" s="138"/>
      <c r="J45" s="3172" t="s">
        <v>2174</v>
      </c>
      <c r="K45" s="3172"/>
      <c r="L45" s="3172"/>
      <c r="M45" s="3172"/>
      <c r="N45" s="3172"/>
      <c r="O45" s="3172"/>
    </row>
    <row r="46" spans="1:15" ht="14.25" hidden="1" customHeight="1">
      <c r="A46" s="3250" t="s">
        <v>2175</v>
      </c>
      <c r="B46" s="3251"/>
      <c r="C46" s="3251"/>
      <c r="D46" s="3251"/>
      <c r="E46" s="3251"/>
      <c r="F46" s="3251"/>
      <c r="G46" s="3252"/>
      <c r="H46" s="2476"/>
      <c r="I46" s="168"/>
      <c r="J46" s="2996">
        <v>1</v>
      </c>
      <c r="K46" s="3172" t="s">
        <v>2176</v>
      </c>
      <c r="L46" s="3172"/>
      <c r="M46" s="3173"/>
      <c r="N46" s="3173"/>
      <c r="O46" s="3173"/>
    </row>
    <row r="47" spans="1:15" ht="12" hidden="1" customHeight="1">
      <c r="A47" s="169" t="s">
        <v>2177</v>
      </c>
      <c r="B47" s="170"/>
      <c r="C47" s="171"/>
      <c r="D47" s="172" t="s">
        <v>2178</v>
      </c>
      <c r="E47" s="24" t="s">
        <v>2179</v>
      </c>
      <c r="F47" s="173" t="s">
        <v>2180</v>
      </c>
      <c r="G47" s="174" t="s">
        <v>2181</v>
      </c>
      <c r="H47" s="2476"/>
      <c r="I47" s="168"/>
      <c r="J47" s="2996">
        <v>2</v>
      </c>
      <c r="K47" s="3172" t="s">
        <v>2182</v>
      </c>
      <c r="L47" s="3172"/>
      <c r="M47" s="3174">
        <f>'数据-取费表'!B2</f>
        <v>43724</v>
      </c>
      <c r="N47" s="3174"/>
      <c r="O47" s="3174"/>
    </row>
    <row r="48" spans="1:15" ht="26.4" hidden="1">
      <c r="A48" s="3240" t="s">
        <v>2183</v>
      </c>
      <c r="B48" s="3241"/>
      <c r="C48" s="3241"/>
      <c r="D48" s="140">
        <f>IF(H48="情况1",0,IF(H48="情况2",D52,IF(H48="情况3",D53,IF(H48="情况4",D54))))</f>
        <v>0</v>
      </c>
      <c r="E48" s="3005" t="str">
        <f>IF(H48="情况4","(销售额-原购置价)×税（费）率","销售额×税（费）率")</f>
        <v>销售额×税（费）率</v>
      </c>
      <c r="F48" s="175" t="str">
        <f>IF(H48="情况1","免征",'数据-取费表'!B41)</f>
        <v>免征</v>
      </c>
      <c r="G48" s="2477" t="s">
        <v>2184</v>
      </c>
      <c r="H48" s="2478" t="s">
        <v>2185</v>
      </c>
      <c r="I48" s="2476"/>
      <c r="J48" s="2996">
        <v>3</v>
      </c>
      <c r="K48" s="3172" t="s">
        <v>2186</v>
      </c>
      <c r="L48" s="3172"/>
      <c r="M48" s="3175">
        <f ca="1">H101</f>
        <v>1263</v>
      </c>
      <c r="N48" s="3175"/>
      <c r="O48" s="3175"/>
    </row>
    <row r="49" spans="1:35" ht="25.5" hidden="1" customHeight="1">
      <c r="A49" s="176" t="s">
        <v>2187</v>
      </c>
      <c r="B49" s="3220" t="s">
        <v>2188</v>
      </c>
      <c r="C49" s="3220"/>
      <c r="D49" s="177">
        <v>0</v>
      </c>
      <c r="E49" s="23" t="s">
        <v>2189</v>
      </c>
      <c r="F49" s="28" t="s">
        <v>34</v>
      </c>
      <c r="G49" s="3201"/>
      <c r="H49" s="138"/>
      <c r="I49" s="2479"/>
      <c r="J49" s="2996">
        <v>4</v>
      </c>
      <c r="K49" s="3172" t="str">
        <f>IF(项目基本情况!E8="房地产抵押价值","房地产抵押价值","抵押担保权已注销时的房地产抵押价值")</f>
        <v>房地产抵押价值</v>
      </c>
      <c r="L49" s="3172"/>
      <c r="M49" s="3175">
        <f ca="1">IF(项目基本情况!E8="房地产抵押价值",H107,H109)</f>
        <v>1263</v>
      </c>
      <c r="N49" s="3175"/>
      <c r="O49" s="3175"/>
    </row>
    <row r="50" spans="1:35" ht="25.5" hidden="1" customHeight="1">
      <c r="A50" s="178"/>
      <c r="B50" s="3220" t="s">
        <v>2190</v>
      </c>
      <c r="C50" s="3220"/>
      <c r="D50" s="179"/>
      <c r="E50" s="31"/>
      <c r="F50" s="180"/>
      <c r="G50" s="3202"/>
      <c r="H50" s="138"/>
      <c r="I50" s="2479"/>
      <c r="J50" s="3172" t="s">
        <v>2191</v>
      </c>
      <c r="K50" s="3172"/>
      <c r="L50" s="3172"/>
      <c r="M50" s="3172"/>
      <c r="N50" s="3172"/>
      <c r="O50" s="3172"/>
    </row>
    <row r="51" spans="1:35" ht="12" hidden="1" customHeight="1">
      <c r="A51" s="181"/>
      <c r="B51" s="3220" t="s">
        <v>2192</v>
      </c>
      <c r="C51" s="3220"/>
      <c r="D51" s="182"/>
      <c r="E51" s="30"/>
      <c r="F51" s="180"/>
      <c r="G51" s="3203"/>
      <c r="H51" s="138"/>
      <c r="I51" s="2479"/>
      <c r="J51" s="2993" t="s">
        <v>2193</v>
      </c>
      <c r="K51" s="3172" t="s">
        <v>2194</v>
      </c>
      <c r="L51" s="3172"/>
      <c r="M51" s="2993" t="s">
        <v>2195</v>
      </c>
      <c r="N51" s="2993" t="s">
        <v>2196</v>
      </c>
      <c r="O51" s="2993" t="s">
        <v>2197</v>
      </c>
    </row>
    <row r="52" spans="1:35" ht="24" hidden="1" customHeight="1">
      <c r="A52" s="183" t="s">
        <v>2198</v>
      </c>
      <c r="B52" s="3220" t="s">
        <v>2199</v>
      </c>
      <c r="C52" s="3220"/>
      <c r="D52" s="182">
        <f ca="1">ROUND(D45*'数据-取费表'!B41/(1+'数据-取费表'!C42),0)</f>
        <v>67</v>
      </c>
      <c r="E52" s="11" t="s">
        <v>2200</v>
      </c>
      <c r="F52" s="184">
        <f>'数据-取费表'!B41</f>
        <v>5.6000000000000001E-2</v>
      </c>
      <c r="G52" s="2481"/>
      <c r="H52" s="138"/>
      <c r="I52" s="2479"/>
      <c r="J52" s="2996">
        <v>1</v>
      </c>
      <c r="K52" s="3195" t="s">
        <v>2201</v>
      </c>
      <c r="L52" s="3195"/>
      <c r="M52" s="1751">
        <f>D48</f>
        <v>0</v>
      </c>
      <c r="N52" s="2996" t="str">
        <f>E48</f>
        <v>销售额×税（费）率</v>
      </c>
      <c r="O52" s="1752" t="str">
        <f>F48</f>
        <v>免征</v>
      </c>
    </row>
    <row r="53" spans="1:35" ht="12" hidden="1" customHeight="1">
      <c r="A53" s="183" t="s">
        <v>2202</v>
      </c>
      <c r="B53" s="3221" t="s">
        <v>2203</v>
      </c>
      <c r="C53" s="3222"/>
      <c r="D53" s="182">
        <f ca="1">ROUND(D45*'数据-取费表'!B41/(1+'数据-取费表'!C42),0)</f>
        <v>67</v>
      </c>
      <c r="E53" s="11" t="s">
        <v>2200</v>
      </c>
      <c r="F53" s="184">
        <f>'数据-取费表'!B41</f>
        <v>5.6000000000000001E-2</v>
      </c>
      <c r="G53" s="2481"/>
      <c r="H53" s="138"/>
      <c r="I53" s="2479"/>
      <c r="J53" s="2996">
        <v>2</v>
      </c>
      <c r="K53" s="3195" t="s">
        <v>2204</v>
      </c>
      <c r="L53" s="3195"/>
      <c r="M53" s="1751">
        <f t="shared" ref="M53:O54" ca="1" si="0">D55</f>
        <v>1</v>
      </c>
      <c r="N53" s="2996" t="str">
        <f t="shared" si="0"/>
        <v>销售额×税（费）率</v>
      </c>
      <c r="O53" s="1752">
        <f t="shared" si="0"/>
        <v>5.0000000000000001E-4</v>
      </c>
    </row>
    <row r="54" spans="1:35" ht="12" hidden="1" customHeight="1">
      <c r="A54" s="183" t="s">
        <v>2205</v>
      </c>
      <c r="B54" s="3221" t="s">
        <v>2206</v>
      </c>
      <c r="C54" s="3222"/>
      <c r="D54" s="182">
        <f ca="1">C68</f>
        <v>67</v>
      </c>
      <c r="E54" s="30" t="s">
        <v>2207</v>
      </c>
      <c r="F54" s="184">
        <f>'数据-取费表'!B41</f>
        <v>5.6000000000000001E-2</v>
      </c>
      <c r="G54" s="2481"/>
      <c r="H54" s="2482"/>
      <c r="I54" s="2479"/>
      <c r="J54" s="2996">
        <v>3</v>
      </c>
      <c r="K54" s="3195" t="s">
        <v>2208</v>
      </c>
      <c r="L54" s="3195"/>
      <c r="M54" s="1751">
        <f t="shared" ca="1" si="0"/>
        <v>715</v>
      </c>
      <c r="N54" s="2996" t="str">
        <f t="shared" si="0"/>
        <v>增值额×税（费）率</v>
      </c>
      <c r="O54" s="1753" t="str">
        <f t="shared" si="0"/>
        <v>——</v>
      </c>
    </row>
    <row r="55" spans="1:35" ht="24" hidden="1" customHeight="1">
      <c r="A55" s="3259" t="s">
        <v>2209</v>
      </c>
      <c r="B55" s="3241"/>
      <c r="C55" s="3241"/>
      <c r="D55" s="185">
        <f ca="1">IF(H55="个人住宅",0,ROUND(D45*I55,0))</f>
        <v>1</v>
      </c>
      <c r="E55" s="11" t="s">
        <v>2210</v>
      </c>
      <c r="F55" s="184">
        <f>IF(H55="正常",I55,"免征")</f>
        <v>5.0000000000000001E-4</v>
      </c>
      <c r="G55" s="2481"/>
      <c r="H55" s="2478" t="s">
        <v>2211</v>
      </c>
      <c r="I55" s="186">
        <f>'数据-取费表'!B49</f>
        <v>5.0000000000000001E-4</v>
      </c>
      <c r="J55" s="2996" t="str">
        <f>IF(H59="非个人房产","",4)</f>
        <v/>
      </c>
      <c r="K55" s="3195" t="str">
        <f>IF(H59="非个人房产","——","个人所得税")</f>
        <v>——</v>
      </c>
      <c r="L55" s="3195"/>
      <c r="M55" s="1754" t="str">
        <f>D59</f>
        <v>——</v>
      </c>
      <c r="N55" s="2997" t="str">
        <f>E59</f>
        <v>——</v>
      </c>
      <c r="O55" s="1755" t="str">
        <f>F59</f>
        <v>——</v>
      </c>
    </row>
    <row r="56" spans="1:35" ht="25.2" hidden="1">
      <c r="A56" s="3259" t="s">
        <v>2212</v>
      </c>
      <c r="B56" s="3241"/>
      <c r="C56" s="3241"/>
      <c r="D56" s="185">
        <f ca="1">IF(H56="个人住宅",D57,D58)</f>
        <v>715</v>
      </c>
      <c r="E56" s="11" t="s">
        <v>2213</v>
      </c>
      <c r="F56" s="184" t="str">
        <f>IF(H56="正常",F58,"免征")</f>
        <v>——</v>
      </c>
      <c r="G56" s="2483" t="s">
        <v>2214</v>
      </c>
      <c r="H56" s="2484" t="s">
        <v>2211</v>
      </c>
      <c r="I56" s="2485"/>
      <c r="J56" s="2996" t="str">
        <f>IF(项目基本情况!K6="上海银行",IF(J55="",4,J55+1),"")</f>
        <v/>
      </c>
      <c r="K56" s="3178" t="str">
        <f>IF(项目基本情况!K6="上海银行","其他处置费用","")</f>
        <v/>
      </c>
      <c r="L56" s="3179"/>
      <c r="M56" s="1751" t="str">
        <f>IF(项目基本情况!K6="上海银行",M69,"")</f>
        <v/>
      </c>
      <c r="N56" s="3181" t="str">
        <f>IF(项目基本情况!K6="上海银行","包含处置中涉及的律师、诉讼、拍卖、评估等费用","")</f>
        <v/>
      </c>
      <c r="O56" s="3182"/>
    </row>
    <row r="57" spans="1:35" ht="13.2" hidden="1">
      <c r="A57" s="183" t="s">
        <v>2187</v>
      </c>
      <c r="B57" s="3226" t="s">
        <v>2215</v>
      </c>
      <c r="C57" s="3227"/>
      <c r="D57" s="187">
        <v>0</v>
      </c>
      <c r="E57" s="23" t="s">
        <v>2189</v>
      </c>
      <c r="F57" s="155"/>
      <c r="G57" s="2481"/>
      <c r="H57" s="2485"/>
      <c r="I57" s="2485"/>
      <c r="J57" s="3195">
        <f>IF(AND(J55="",J56=""),4,IF(项目基本情况!K6="上海银行",'结果表 (商业)'!J56+1,'结果表 (商业)'!J55+1))</f>
        <v>4</v>
      </c>
      <c r="K57" s="3195" t="s">
        <v>2216</v>
      </c>
      <c r="L57" s="2486" t="s">
        <v>2217</v>
      </c>
      <c r="M57" s="1756"/>
      <c r="N57" s="1757">
        <f ca="1">SUMIF(M52:M56,"&lt;9e307")</f>
        <v>716</v>
      </c>
      <c r="O57" s="2487"/>
      <c r="P57" s="1750">
        <f ca="1">N57/M49</f>
        <v>0.56690419635787803</v>
      </c>
    </row>
    <row r="58" spans="1:35" ht="25.2" hidden="1">
      <c r="A58" s="183" t="s">
        <v>2198</v>
      </c>
      <c r="B58" s="3226" t="s">
        <v>2218</v>
      </c>
      <c r="C58" s="3239"/>
      <c r="D58" s="185">
        <f ca="1">IF(H58="转让取得",C81,C97)</f>
        <v>715</v>
      </c>
      <c r="E58" s="11" t="s">
        <v>2213</v>
      </c>
      <c r="F58" s="24" t="s">
        <v>34</v>
      </c>
      <c r="G58" s="2481"/>
      <c r="H58" s="2484" t="s">
        <v>2219</v>
      </c>
      <c r="I58" s="2485"/>
      <c r="J58" s="3195"/>
      <c r="K58" s="3195"/>
      <c r="L58" s="2486" t="s">
        <v>2220</v>
      </c>
      <c r="M58" s="1758"/>
      <c r="N58" s="2488" t="str">
        <f ca="1">NUMBERSTRING(INT(N57*10000),2)&amp;"元整"</f>
        <v>柒佰壹拾陆万元整</v>
      </c>
      <c r="O58" s="2489"/>
    </row>
    <row r="59" spans="1:35" ht="24.6" hidden="1" thickBot="1">
      <c r="A59" s="3199" t="s">
        <v>2221</v>
      </c>
      <c r="B59" s="3200"/>
      <c r="C59" s="3200"/>
      <c r="D59" s="188" t="str">
        <f>IF(H59="非个人房产","——",IF(H59="个人住宅",0,ROUND(D45*I59,0)))</f>
        <v>——</v>
      </c>
      <c r="E59" s="189" t="str">
        <f>IF(H59="非个人房产","——","销售额×税（费）率")</f>
        <v>——</v>
      </c>
      <c r="F59" s="190" t="str">
        <f>IF(H59="非个人房产","——",IF(H59="个人住宅","免征",I59))</f>
        <v>——</v>
      </c>
      <c r="G59" s="2490" t="s">
        <v>2214</v>
      </c>
      <c r="H59" s="2484" t="s">
        <v>2222</v>
      </c>
      <c r="I59" s="191">
        <v>0.01</v>
      </c>
      <c r="J59" s="3197">
        <f>J57+1</f>
        <v>5</v>
      </c>
      <c r="K59" s="3195" t="s">
        <v>2223</v>
      </c>
      <c r="L59" s="2996" t="s">
        <v>2217</v>
      </c>
      <c r="M59" s="1759"/>
      <c r="N59" s="1760">
        <f ca="1">M49-N57</f>
        <v>547</v>
      </c>
      <c r="O59" s="2491"/>
    </row>
    <row r="60" spans="1:35" ht="12" hidden="1" customHeight="1">
      <c r="A60" s="2492"/>
      <c r="B60" s="2414"/>
      <c r="C60" s="2414"/>
      <c r="D60" s="2414"/>
      <c r="E60" s="2164"/>
      <c r="F60" s="2485"/>
      <c r="G60" s="2485"/>
      <c r="H60" s="2493"/>
      <c r="I60" s="138"/>
      <c r="J60" s="3198"/>
      <c r="K60" s="3195"/>
      <c r="L60" s="2486" t="s">
        <v>2220</v>
      </c>
      <c r="M60" s="1758"/>
      <c r="N60" s="2488" t="str">
        <f ca="1">NUMBERSTRING(INT(N59*10000),2)&amp;"元整"</f>
        <v>伍佰肆拾柒万元整</v>
      </c>
      <c r="O60" s="2489"/>
    </row>
    <row r="61" spans="1:35" ht="13.8" hidden="1" thickBot="1">
      <c r="A61" s="3258" t="s">
        <v>2224</v>
      </c>
      <c r="B61" s="3258"/>
      <c r="C61" s="3258"/>
      <c r="D61" s="3258"/>
      <c r="E61" s="3258"/>
      <c r="F61" s="2485"/>
      <c r="G61" s="2485"/>
      <c r="H61" s="2493"/>
      <c r="I61" s="138"/>
      <c r="J61" s="2996">
        <f>J59+1</f>
        <v>6</v>
      </c>
      <c r="K61" s="3195" t="s">
        <v>2225</v>
      </c>
      <c r="L61" s="3195"/>
      <c r="M61" s="1761"/>
      <c r="N61" s="1762">
        <f ca="1">ROUND(N59*10000/'数据-汇总表'!E3,0)</f>
        <v>99</v>
      </c>
      <c r="O61" s="2494"/>
    </row>
    <row r="62" spans="1:35" ht="13.2" hidden="1">
      <c r="A62" s="3215" t="s">
        <v>2226</v>
      </c>
      <c r="B62" s="3216"/>
      <c r="C62" s="3001"/>
      <c r="D62" s="3001" t="s">
        <v>2227</v>
      </c>
      <c r="E62" s="192" t="s">
        <v>2228</v>
      </c>
      <c r="F62" s="2485"/>
      <c r="G62" s="2485"/>
      <c r="H62" s="2493"/>
      <c r="I62" s="138"/>
    </row>
    <row r="63" spans="1:35" ht="13.2" hidden="1">
      <c r="A63" s="203" t="s">
        <v>775</v>
      </c>
      <c r="B63" s="193" t="s">
        <v>2229</v>
      </c>
      <c r="C63" s="194">
        <f ca="1">ROUND((C64+C65)/(1+'数据-取费表'!C42),0)</f>
        <v>1203</v>
      </c>
      <c r="D63" s="195"/>
      <c r="E63" s="196"/>
      <c r="F63" s="2485"/>
      <c r="G63" s="2485"/>
      <c r="H63" s="2493"/>
      <c r="I63" s="138"/>
      <c r="J63" s="3180" t="s">
        <v>2230</v>
      </c>
      <c r="K63" s="2994" t="s">
        <v>2231</v>
      </c>
      <c r="L63" s="1749">
        <f ca="1">IF(M49&gt;10000,M49*0.5%,IF(AND(M49&gt;1000,M49&lt;=10000),M49*1%,IF(AND(M49&gt;100,M49&lt;=1000),M49*3%,IF(AND(M49&gt;10,M49&lt;=100),M49*5%,M49*8%))))</f>
        <v>12.63</v>
      </c>
      <c r="M63" s="24">
        <f ca="1">ROUND(L63,1)</f>
        <v>12.6</v>
      </c>
      <c r="Z63" s="2419"/>
      <c r="AI63" s="2420"/>
    </row>
    <row r="64" spans="1:35" ht="14.25" hidden="1" customHeight="1">
      <c r="A64" s="197" t="s">
        <v>770</v>
      </c>
      <c r="B64" s="198" t="s">
        <v>2232</v>
      </c>
      <c r="C64" s="199">
        <f ca="1">D45</f>
        <v>1263</v>
      </c>
      <c r="D64" s="200" t="s">
        <v>32</v>
      </c>
      <c r="E64" s="201"/>
      <c r="F64" s="2485"/>
      <c r="G64" s="2485"/>
      <c r="H64" s="2493"/>
      <c r="I64" s="138"/>
      <c r="J64" s="3180"/>
      <c r="K64" s="2994" t="s">
        <v>2233</v>
      </c>
      <c r="L64" s="1749">
        <f ca="1">IF(M49&gt;2000,M49*0.5%,IF(AND(M49&gt;1000,M49&lt;=2000),M49*0.6%,IF(AND(M49&gt;500,M49&lt;=1000),M49*0.7%,IF(AND(M49&gt;200,M49&lt;=500),M49*0.8%,IF(AND(M49&gt;100,M49&lt;=200),M49*0.9%,IF(AND(M49&gt;50,M49&lt;=100),M49*1%,IF(AND(M49&gt;20,M49&lt;=50),M49*1.5%,IF(AND(M49&gt;10,M49&lt;=20),M49*2%,IF(AND(M49&gt;1,M49&lt;=10),M49*2.5%)))))))))</f>
        <v>7.5780000000000003</v>
      </c>
      <c r="M64" s="24">
        <f t="shared" ref="M64:M65" ca="1" si="1">ROUND(L64,1)</f>
        <v>7.6</v>
      </c>
      <c r="N64" s="138" t="s">
        <v>2234</v>
      </c>
      <c r="Z64" s="2419"/>
      <c r="AI64" s="2420"/>
    </row>
    <row r="65" spans="1:35" ht="14.25" hidden="1" customHeight="1">
      <c r="A65" s="197" t="s">
        <v>771</v>
      </c>
      <c r="B65" s="198" t="s">
        <v>2235</v>
      </c>
      <c r="C65" s="202"/>
      <c r="D65" s="200"/>
      <c r="E65" s="201"/>
      <c r="F65" s="2485"/>
      <c r="G65" s="2485"/>
      <c r="H65" s="2493"/>
      <c r="I65" s="138"/>
      <c r="J65" s="3180"/>
      <c r="K65" s="2994" t="s">
        <v>2236</v>
      </c>
      <c r="L65" s="1749">
        <f ca="1">IF(M49&gt;1000,M49*0.1%,IF(AND(M49&gt;500,M49&lt;=1000),M49*0.5%,IF(AND(M49&gt;50,M49&lt;=500),M49*1%,IF(AND(M49&gt;1,M49&lt;=50),M49*1.5%))))</f>
        <v>1.2630000000000001</v>
      </c>
      <c r="M65" s="24">
        <f t="shared" ca="1" si="1"/>
        <v>1.3</v>
      </c>
      <c r="N65" s="138" t="s">
        <v>2234</v>
      </c>
      <c r="Z65" s="2419"/>
      <c r="AI65" s="2420"/>
    </row>
    <row r="66" spans="1:35" ht="14.25" hidden="1" customHeight="1">
      <c r="A66" s="203" t="s">
        <v>772</v>
      </c>
      <c r="B66" s="204" t="s">
        <v>2237</v>
      </c>
      <c r="C66" s="205"/>
      <c r="D66" s="206" t="s">
        <v>32</v>
      </c>
      <c r="E66" s="1773" t="s">
        <v>1367</v>
      </c>
      <c r="F66" s="2485"/>
      <c r="G66" s="2485"/>
      <c r="H66" s="2493"/>
      <c r="I66" s="138"/>
      <c r="J66" s="3180"/>
      <c r="K66" s="2994" t="s">
        <v>2238</v>
      </c>
      <c r="L66" s="1749">
        <f ca="1">M49*0.5%</f>
        <v>6.3150000000000004</v>
      </c>
      <c r="M66" s="24">
        <f ca="1">IF(L66&gt;0.5,0.5,ROUND(L66,0))</f>
        <v>0.5</v>
      </c>
      <c r="N66" s="138" t="s">
        <v>2239</v>
      </c>
      <c r="Z66" s="2419"/>
      <c r="AI66" s="2420"/>
    </row>
    <row r="67" spans="1:35" ht="14.25" hidden="1" customHeight="1">
      <c r="A67" s="203" t="s">
        <v>773</v>
      </c>
      <c r="B67" s="204" t="s">
        <v>2240</v>
      </c>
      <c r="C67" s="207">
        <f ca="1">C63-C66</f>
        <v>1203</v>
      </c>
      <c r="D67" s="200" t="s">
        <v>32</v>
      </c>
      <c r="E67" s="201"/>
      <c r="F67" s="2485"/>
      <c r="G67" s="2485"/>
      <c r="H67" s="2493"/>
      <c r="I67" s="138"/>
      <c r="J67" s="3180"/>
      <c r="K67" s="2994" t="s">
        <v>2241</v>
      </c>
      <c r="L67" s="1749">
        <f ca="1">IF(M49&gt;=10000,(8.25+(M49-10000)*0.01%),IF(AND(M49&gt;=8000,M49&lt;10000),(7.85+(M49-8000)*0.02%),IF(AND(M49&gt;=5000,M49&lt;8000),(6.65+(M49-5000)*0.04%),IF(AND(M49&gt;=2000,M49&lt;5000),(4.25+(PM49-2000)*0.08%),IF(AND(M49&gt;=1000,M49&lt;2000),(2.75+(M49-1000)*0.15%),IF(AND(M49&gt;=100,M49&lt;1000),(0.5+(M49-100)*0.25%),IF(AND(M49&gt;0,M49&lt;100),M49*0.5%)))))))</f>
        <v>3.1444999999999999</v>
      </c>
      <c r="M67" s="24">
        <f ca="1">ROUND(L67*0.9,1)</f>
        <v>2.8</v>
      </c>
      <c r="Z67" s="2419"/>
      <c r="AI67" s="2420"/>
    </row>
    <row r="68" spans="1:35" ht="14.25" hidden="1" customHeight="1" thickBot="1">
      <c r="A68" s="208" t="s">
        <v>774</v>
      </c>
      <c r="B68" s="209" t="s">
        <v>2242</v>
      </c>
      <c r="C68" s="210">
        <f ca="1">IF(C67&lt;=0,0,ROUND(C67*D68,0))</f>
        <v>67</v>
      </c>
      <c r="D68" s="211">
        <f>'数据-取费表'!B41</f>
        <v>5.6000000000000001E-2</v>
      </c>
      <c r="E68" s="212"/>
      <c r="F68" s="2485"/>
      <c r="G68" s="2485"/>
      <c r="H68" s="2493"/>
      <c r="I68" s="138"/>
      <c r="J68" s="3180"/>
      <c r="K68" s="2994" t="s">
        <v>2243</v>
      </c>
      <c r="L68" s="1749">
        <f ca="1">IF(M49&gt;10000,M49*0.5%,IF(AND(M49&gt;5000,M49&lt;=10000),M49*1%,IF(AND(M49&gt;1000,M49&lt;=5000),M49*2%,IF(AND(M49&gt;200,M49&lt;=1000),M49*3%,M49*5%))))</f>
        <v>25.26</v>
      </c>
      <c r="M68" s="24">
        <f ca="1">ROUND(L68,1)</f>
        <v>25.3</v>
      </c>
      <c r="Z68" s="2419"/>
      <c r="AI68" s="2420"/>
    </row>
    <row r="69" spans="1:35" s="2442" customFormat="1" ht="16.5" hidden="1" customHeight="1">
      <c r="A69" s="2496"/>
      <c r="B69" s="2497"/>
      <c r="C69" s="2498"/>
      <c r="D69" s="2499"/>
      <c r="E69" s="2500"/>
      <c r="F69" s="2164"/>
      <c r="G69" s="2164"/>
      <c r="H69" s="2163"/>
      <c r="I69" s="2414"/>
      <c r="J69" s="3180"/>
      <c r="K69" s="2994" t="s">
        <v>2244</v>
      </c>
      <c r="L69" s="2501"/>
      <c r="M69" s="24">
        <f ca="1">ROUND(SUM(M63:M68),0)</f>
        <v>50</v>
      </c>
      <c r="N69" s="1750">
        <f ca="1">M69/M49</f>
        <v>3.9588281868566902E-2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hidden="1" thickBot="1">
      <c r="A70" s="3224" t="s">
        <v>2245</v>
      </c>
      <c r="B70" s="3225"/>
      <c r="C70" s="3225"/>
      <c r="D70" s="3225"/>
      <c r="E70" s="3225"/>
      <c r="F70" s="3225"/>
      <c r="G70" s="3225"/>
      <c r="H70" s="322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hidden="1">
      <c r="A71" s="3215" t="s">
        <v>2226</v>
      </c>
      <c r="B71" s="3216"/>
      <c r="C71" s="3001"/>
      <c r="D71" s="3001" t="s">
        <v>2227</v>
      </c>
      <c r="E71" s="213" t="s">
        <v>2228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hidden="1">
      <c r="A72" s="203" t="s">
        <v>775</v>
      </c>
      <c r="B72" s="204" t="s">
        <v>2246</v>
      </c>
      <c r="C72" s="207">
        <f ca="1">ROUND(D45/(1+'数据-取费表'!C42),0)</f>
        <v>1203</v>
      </c>
      <c r="D72" s="200" t="s">
        <v>32</v>
      </c>
      <c r="E72" s="3003"/>
      <c r="F72" s="3002"/>
      <c r="G72" s="300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hidden="1">
      <c r="A73" s="203" t="s">
        <v>772</v>
      </c>
      <c r="B73" s="173" t="s">
        <v>2247</v>
      </c>
      <c r="C73" s="207">
        <f ca="1">C74+C78</f>
        <v>7</v>
      </c>
      <c r="D73" s="200" t="s">
        <v>32</v>
      </c>
      <c r="E73" s="3003"/>
      <c r="F73" s="3002"/>
      <c r="G73" s="300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2248</v>
      </c>
      <c r="C74" s="200">
        <f>ROUND(IF(G77="2016年5月1日后购买",C75/(1+'数据-取费表'!C42)+C76+C77,C75+C76+C77),0)</f>
        <v>0</v>
      </c>
      <c r="D74" s="200" t="s">
        <v>32</v>
      </c>
      <c r="E74" s="3003"/>
      <c r="F74" s="3002"/>
      <c r="G74" s="300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hidden="1">
      <c r="A75" s="217" t="s">
        <v>776</v>
      </c>
      <c r="B75" s="198" t="s">
        <v>2249</v>
      </c>
      <c r="C75" s="218"/>
      <c r="D75" s="200" t="s">
        <v>32</v>
      </c>
      <c r="E75" s="219" t="s">
        <v>2250</v>
      </c>
      <c r="F75" s="2507" t="s">
        <v>2251</v>
      </c>
      <c r="G75" s="219" t="s">
        <v>2252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2253</v>
      </c>
      <c r="C76" s="200">
        <f>IF(F75="购房发票",ROUND(C75*H75*D76,0),0)</f>
        <v>0</v>
      </c>
      <c r="D76" s="222">
        <v>0.05</v>
      </c>
      <c r="E76" s="3221" t="s">
        <v>2254</v>
      </c>
      <c r="F76" s="3220"/>
      <c r="G76" s="3220"/>
      <c r="H76" s="322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2255</v>
      </c>
      <c r="C77" s="200">
        <f>ROUND(IF(G77="个人住宅",0,IF(G77="2016年5月1日前购买",C75*D77,C75*D77/(1+'数据-取费表'!C42))),0)</f>
        <v>0</v>
      </c>
      <c r="D77" s="223">
        <f>'数据-取费表'!B48+'数据-取费表'!B49</f>
        <v>4.0500000000000001E-2</v>
      </c>
      <c r="E77" s="2995" t="s">
        <v>2256</v>
      </c>
      <c r="F77" s="224"/>
      <c r="G77" s="2509" t="s">
        <v>2257</v>
      </c>
      <c r="H77" s="30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2258</v>
      </c>
      <c r="C78" s="225">
        <f ca="1">ROUND(D45*D78/(1+'数据-取费表'!C42),0)</f>
        <v>7</v>
      </c>
      <c r="D78" s="226">
        <f>'数据-取费表'!B43</f>
        <v>6.000000000000001E-3</v>
      </c>
      <c r="E78" s="3212" t="s">
        <v>2259</v>
      </c>
      <c r="F78" s="3213"/>
      <c r="G78" s="3213"/>
      <c r="H78" s="321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hidden="1">
      <c r="A79" s="2511" t="s">
        <v>773</v>
      </c>
      <c r="B79" s="204" t="s">
        <v>2260</v>
      </c>
      <c r="C79" s="207">
        <f ca="1">C72-C73</f>
        <v>1196</v>
      </c>
      <c r="D79" s="200" t="s">
        <v>32</v>
      </c>
      <c r="E79" s="3003"/>
      <c r="F79" s="3002"/>
      <c r="G79" s="300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2261</v>
      </c>
      <c r="C80" s="227">
        <f ca="1">IF(C79&lt;=0,0,C79/C73)</f>
        <v>170.85714285714286</v>
      </c>
      <c r="D80" s="200" t="s">
        <v>32</v>
      </c>
      <c r="E80" s="2995" t="str">
        <f ca="1">IF(C80&gt;=200%,"增值额超过扣除项目金额200%",IF(C80&gt;=100%,"增值额超过扣除项目金额100%，未超过200%",IF(C80&gt;=50%,"增值额超过扣除项目金额50%，未超过100%",IF(C80&lt;50%,"增值额未超过扣除项目金额50%"))))</f>
        <v>增值额超过扣除项目金额200%</v>
      </c>
      <c r="F80" s="3002"/>
      <c r="G80" s="300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hidden="1" thickBot="1">
      <c r="A81" s="2512" t="s">
        <v>781</v>
      </c>
      <c r="B81" s="209" t="s">
        <v>2262</v>
      </c>
      <c r="C81" s="228">
        <f ca="1">ROUND(IF(C79&lt;=0,0,IF(C80&gt;=200%,C79*60%-C73*35%,IF(C80&gt;=100%,C79*50%-C73*15%,IF(C80&gt;=50%,C79*40%-C73*5%,IF(C80&lt;50%,C79*30%,0))))),0)</f>
        <v>715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hidden="1" thickBot="1">
      <c r="A83" s="3224" t="s">
        <v>2263</v>
      </c>
      <c r="B83" s="3225"/>
      <c r="C83" s="3225"/>
      <c r="D83" s="3225"/>
      <c r="E83" s="3225"/>
      <c r="F83" s="3225"/>
      <c r="G83" s="3225"/>
      <c r="H83" s="322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hidden="1">
      <c r="A84" s="3215" t="s">
        <v>2226</v>
      </c>
      <c r="B84" s="3216"/>
      <c r="C84" s="3001"/>
      <c r="D84" s="3001" t="s">
        <v>2227</v>
      </c>
      <c r="E84" s="213" t="s">
        <v>2228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hidden="1">
      <c r="A85" s="203" t="s">
        <v>775</v>
      </c>
      <c r="B85" s="204" t="s">
        <v>2246</v>
      </c>
      <c r="C85" s="207">
        <f ca="1">ROUND(D45/(1+'数据-取费表'!C42),0)</f>
        <v>1203</v>
      </c>
      <c r="D85" s="200" t="s">
        <v>32</v>
      </c>
      <c r="E85" s="3003"/>
      <c r="F85" s="3002"/>
      <c r="G85" s="300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hidden="1">
      <c r="A86" s="203" t="s">
        <v>772</v>
      </c>
      <c r="B86" s="173" t="s">
        <v>2247</v>
      </c>
      <c r="C86" s="207">
        <f ca="1">IF(H88="仅含出让金",C87+C90+C91+C92+C93+C94,C87+C91+C92+C93+C94)</f>
        <v>7</v>
      </c>
      <c r="D86" s="235"/>
      <c r="E86" s="3003"/>
      <c r="F86" s="3002"/>
      <c r="G86" s="300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hidden="1">
      <c r="A87" s="217" t="s">
        <v>770</v>
      </c>
      <c r="B87" s="198" t="s">
        <v>2264</v>
      </c>
      <c r="C87" s="225">
        <f>C88+C89</f>
        <v>0</v>
      </c>
      <c r="D87" s="226"/>
      <c r="E87" s="2998"/>
      <c r="F87" s="2999"/>
      <c r="G87" s="2999"/>
      <c r="H87" s="30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hidden="1">
      <c r="A88" s="217" t="s">
        <v>776</v>
      </c>
      <c r="B88" s="198" t="s">
        <v>2265</v>
      </c>
      <c r="C88" s="236"/>
      <c r="D88" s="226"/>
      <c r="E88" s="237" t="s">
        <v>2266</v>
      </c>
      <c r="F88" s="2999"/>
      <c r="G88" s="238" t="s">
        <v>2267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hidden="1">
      <c r="A89" s="217" t="s">
        <v>777</v>
      </c>
      <c r="B89" s="198" t="s">
        <v>2255</v>
      </c>
      <c r="C89" s="225">
        <f>ROUND(C88*D89,0)</f>
        <v>0</v>
      </c>
      <c r="D89" s="226">
        <f>'数据-取费表'!B48+'数据-取费表'!B49</f>
        <v>4.0500000000000001E-2</v>
      </c>
      <c r="E89" s="237" t="s">
        <v>2268</v>
      </c>
      <c r="F89" s="2999"/>
      <c r="G89" s="2999"/>
      <c r="H89" s="30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hidden="1">
      <c r="A90" s="217" t="s">
        <v>771</v>
      </c>
      <c r="B90" s="198" t="s">
        <v>2269</v>
      </c>
      <c r="C90" s="236"/>
      <c r="D90" s="226"/>
      <c r="E90" s="237" t="str">
        <f>IF(H88="-","土地取得成本中已包含该笔费用"," ")</f>
        <v xml:space="preserve"> </v>
      </c>
      <c r="F90" s="2999"/>
      <c r="G90" s="2999"/>
      <c r="H90" s="30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2270</v>
      </c>
      <c r="B91" s="198" t="s">
        <v>2271</v>
      </c>
      <c r="C91" s="225">
        <f>IF(H91="——",成本法!C33,I91)</f>
        <v>0</v>
      </c>
      <c r="D91" s="226"/>
      <c r="E91" s="3212" t="s">
        <v>2272</v>
      </c>
      <c r="F91" s="3213"/>
      <c r="G91" s="3213"/>
      <c r="H91" s="2514" t="s">
        <v>2273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2274</v>
      </c>
      <c r="B92" s="198" t="s">
        <v>2275</v>
      </c>
      <c r="C92" s="225">
        <f>ROUND((C87+C90+C91)*D92,0)</f>
        <v>0</v>
      </c>
      <c r="D92" s="226">
        <v>0.1</v>
      </c>
      <c r="E92" s="3212" t="s">
        <v>2276</v>
      </c>
      <c r="F92" s="3213"/>
      <c r="G92" s="3213"/>
      <c r="H92" s="321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2277</v>
      </c>
      <c r="B93" s="198" t="s">
        <v>2258</v>
      </c>
      <c r="C93" s="225">
        <f ca="1">ROUND(D45*D93/(1+'数据-取费表'!C42),0)</f>
        <v>7</v>
      </c>
      <c r="D93" s="226">
        <f>'数据-取费表'!B43</f>
        <v>6.000000000000001E-3</v>
      </c>
      <c r="E93" s="3212" t="s">
        <v>2259</v>
      </c>
      <c r="F93" s="3213"/>
      <c r="G93" s="3213"/>
      <c r="H93" s="321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2278</v>
      </c>
      <c r="B94" s="198" t="s">
        <v>2279</v>
      </c>
      <c r="C94" s="236">
        <f>ROUND((C87+C90+C91)*D94,0)</f>
        <v>0</v>
      </c>
      <c r="D94" s="226">
        <v>0.2</v>
      </c>
      <c r="E94" s="3260" t="s">
        <v>2280</v>
      </c>
      <c r="F94" s="3261"/>
      <c r="G94" s="3261"/>
      <c r="H94" s="326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hidden="1">
      <c r="A95" s="2511" t="s">
        <v>773</v>
      </c>
      <c r="B95" s="204" t="s">
        <v>2260</v>
      </c>
      <c r="C95" s="207">
        <f ca="1">ROUND(C85-C86,0)</f>
        <v>1196</v>
      </c>
      <c r="D95" s="200" t="s">
        <v>32</v>
      </c>
      <c r="E95" s="3003"/>
      <c r="F95" s="3002"/>
      <c r="G95" s="300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2261</v>
      </c>
      <c r="C96" s="227">
        <f ca="1">IF(C95&lt;=0,0,C95/C86)</f>
        <v>170.85714285714286</v>
      </c>
      <c r="D96" s="200" t="s">
        <v>32</v>
      </c>
      <c r="E96" s="2995" t="str">
        <f ca="1">IF(C96&gt;=200%,"增值额超过扣除项目金额200%",IF(C96&gt;=100%,"增值额超过扣除项目金额100%，未超过200%",IF(C96&gt;=50%,"增值额超过扣除项目金额50%，未超过100%",IF(C96&lt;50%,"增值额未超过扣除项目金额50%"))))</f>
        <v>增值额超过扣除项目金额200%</v>
      </c>
      <c r="F96" s="3002"/>
      <c r="G96" s="300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hidden="1" thickBot="1">
      <c r="A97" s="2512" t="s">
        <v>781</v>
      </c>
      <c r="B97" s="209" t="s">
        <v>2262</v>
      </c>
      <c r="C97" s="228">
        <f ca="1">ROUND(IF(C95&lt;=0,0,IF(C96&gt;=200%,C95*60%-C86*35%,IF(C96&gt;=100%,C95*50%-C86*15%,IF(C96&gt;=50%,C95*40%-C86*5%,IF(C96&lt;50%,C95*30%,0))))),0)</f>
        <v>715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2281</v>
      </c>
      <c r="B99" s="2414"/>
      <c r="C99" s="2414"/>
      <c r="D99" s="2414"/>
      <c r="E99" s="2164"/>
      <c r="F99" s="2164"/>
      <c r="G99" s="2164"/>
      <c r="H99" s="2163"/>
      <c r="I99" s="138"/>
    </row>
    <row r="100" spans="1:35" ht="18.75" customHeight="1">
      <c r="A100" s="3164" t="s">
        <v>2282</v>
      </c>
      <c r="B100" s="3165"/>
      <c r="C100" s="3165"/>
      <c r="D100" s="3196"/>
      <c r="E100" s="3165" t="s">
        <v>2283</v>
      </c>
      <c r="F100" s="3165"/>
      <c r="G100" s="3165"/>
      <c r="H100" s="3196"/>
      <c r="I100" s="138"/>
    </row>
    <row r="101" spans="1:35" ht="18.75" customHeight="1">
      <c r="A101" s="3204" t="s">
        <v>2284</v>
      </c>
      <c r="B101" s="3205"/>
      <c r="C101" s="736" t="str">
        <f>C4</f>
        <v>成本法 (商业)</v>
      </c>
      <c r="D101" s="737" t="str">
        <f>D4</f>
        <v>假设开发法 (商业)</v>
      </c>
      <c r="E101" s="3176" t="s">
        <v>2285</v>
      </c>
      <c r="F101" s="3177"/>
      <c r="G101" s="2516" t="s">
        <v>2286</v>
      </c>
      <c r="H101" s="1045">
        <f ca="1">H118</f>
        <v>1263</v>
      </c>
      <c r="I101" s="138"/>
    </row>
    <row r="102" spans="1:35" ht="18.75" customHeight="1">
      <c r="A102" s="3206" t="s">
        <v>2287</v>
      </c>
      <c r="B102" s="2516" t="s">
        <v>2286</v>
      </c>
      <c r="C102" s="736">
        <f ca="1">C19</f>
        <v>1319</v>
      </c>
      <c r="D102" s="737">
        <f ca="1">D19</f>
        <v>1207</v>
      </c>
      <c r="E102" s="3176"/>
      <c r="F102" s="3177"/>
      <c r="G102" s="2516" t="s">
        <v>2288</v>
      </c>
      <c r="H102" s="371">
        <f ca="1">I118</f>
        <v>11268</v>
      </c>
      <c r="I102" s="138"/>
    </row>
    <row r="103" spans="1:35" ht="42.75" customHeight="1">
      <c r="A103" s="3206"/>
      <c r="B103" s="2516" t="s">
        <v>2288</v>
      </c>
      <c r="C103" s="738">
        <f ca="1">C20</f>
        <v>11767</v>
      </c>
      <c r="D103" s="739">
        <f ca="1">D20</f>
        <v>10768</v>
      </c>
      <c r="E103" s="3170" t="s">
        <v>2289</v>
      </c>
      <c r="F103" s="3171"/>
      <c r="G103" s="2517" t="s">
        <v>2290</v>
      </c>
      <c r="H103" s="1045">
        <f>IF(D36="正常操作",H104+H105+H106,H105+H106)</f>
        <v>0</v>
      </c>
      <c r="I103" s="138"/>
    </row>
    <row r="104" spans="1:35" ht="18.75" customHeight="1">
      <c r="A104" s="3206" t="s">
        <v>2291</v>
      </c>
      <c r="B104" s="2518" t="s">
        <v>2286</v>
      </c>
      <c r="C104" s="740">
        <f ca="1">H118</f>
        <v>1263</v>
      </c>
      <c r="D104" s="741"/>
      <c r="E104" s="2265" t="s">
        <v>2292</v>
      </c>
      <c r="F104" s="2256"/>
      <c r="G104" s="2517" t="s">
        <v>2290</v>
      </c>
      <c r="H104" s="1046">
        <f>IF(D36="同一抵押权人同一抵押物续贷",C36&amp;"（未扣减，详见特别提示）",C36)</f>
        <v>0</v>
      </c>
      <c r="I104" s="138"/>
    </row>
    <row r="105" spans="1:35" ht="18.75" customHeight="1" thickBot="1">
      <c r="A105" s="3218"/>
      <c r="B105" s="2519" t="s">
        <v>2288</v>
      </c>
      <c r="C105" s="742">
        <f ca="1">I118</f>
        <v>11268</v>
      </c>
      <c r="D105" s="743"/>
      <c r="E105" s="2265" t="s">
        <v>2293</v>
      </c>
      <c r="F105" s="2256"/>
      <c r="G105" s="2517" t="s">
        <v>2290</v>
      </c>
      <c r="H105" s="1046">
        <f>C37</f>
        <v>0</v>
      </c>
      <c r="I105" s="138"/>
    </row>
    <row r="106" spans="1:35" ht="18.75" customHeight="1">
      <c r="A106" s="2414" t="s">
        <v>2294</v>
      </c>
      <c r="B106" s="2414"/>
      <c r="C106" s="2414"/>
      <c r="D106" s="2414"/>
      <c r="E106" s="2520" t="s">
        <v>2295</v>
      </c>
      <c r="F106" s="2256"/>
      <c r="G106" s="2517" t="s">
        <v>2290</v>
      </c>
      <c r="H106" s="1046">
        <f>C38</f>
        <v>0</v>
      </c>
      <c r="I106" s="138"/>
    </row>
    <row r="107" spans="1:35" ht="18.75" customHeight="1">
      <c r="A107" s="138"/>
      <c r="B107" s="138"/>
      <c r="C107" s="138"/>
      <c r="D107" s="138"/>
      <c r="E107" s="3207" t="str">
        <f>IF(项目基本情况!E8="已注销","——","3.房地产抵押价值")</f>
        <v>3.房地产抵押价值</v>
      </c>
      <c r="F107" s="3177"/>
      <c r="G107" s="2516" t="s">
        <v>2286</v>
      </c>
      <c r="H107" s="1045">
        <f ca="1">IF(E107="——","——",H101-H103)</f>
        <v>1263</v>
      </c>
      <c r="I107" s="138"/>
    </row>
    <row r="108" spans="1:35" ht="18.75" customHeight="1">
      <c r="A108" s="138"/>
      <c r="B108" s="138"/>
      <c r="C108" s="138"/>
      <c r="D108" s="138"/>
      <c r="E108" s="3207"/>
      <c r="F108" s="3177"/>
      <c r="G108" s="2516" t="s">
        <v>2288</v>
      </c>
      <c r="H108" s="371">
        <f ca="1">ROUND(H107*10000/'数据-汇总表'!E3,0)</f>
        <v>228</v>
      </c>
      <c r="I108" s="138"/>
    </row>
    <row r="109" spans="1:35" ht="18.75" customHeight="1">
      <c r="A109" s="138"/>
      <c r="B109" s="138"/>
      <c r="C109" s="138"/>
      <c r="D109" s="138"/>
      <c r="E109" s="3207" t="str">
        <f>IF(项目基本情况!E8="已注销及未注销","4.抵押担保权已注销时的房地产抵押价值",IF(项目基本情况!E8="已注销","3.抵押担保权已注销时的房地产抵押价值","——"))</f>
        <v>——</v>
      </c>
      <c r="F109" s="3177"/>
      <c r="G109" s="2516" t="s">
        <v>2286</v>
      </c>
      <c r="H109" s="348" t="str">
        <f>IF(E109="——","——",H101-H105-H106)</f>
        <v>——</v>
      </c>
      <c r="I109" s="138"/>
    </row>
    <row r="110" spans="1:35" ht="18.75" customHeight="1">
      <c r="A110" s="138"/>
      <c r="B110" s="138"/>
      <c r="C110" s="138"/>
      <c r="D110" s="138"/>
      <c r="E110" s="3207"/>
      <c r="F110" s="3177"/>
      <c r="G110" s="2516" t="s">
        <v>2288</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16" t="s">
        <v>2286</v>
      </c>
      <c r="H111" s="1045" t="str">
        <f>IF(E111="——","——",N59)</f>
        <v>——</v>
      </c>
      <c r="I111" s="138"/>
    </row>
    <row r="112" spans="1:35" ht="18.75" customHeight="1" thickBot="1">
      <c r="A112" s="138"/>
      <c r="B112" s="138"/>
      <c r="C112" s="138"/>
      <c r="D112" s="138"/>
      <c r="E112" s="3210"/>
      <c r="F112" s="3211"/>
      <c r="G112" s="2521" t="s">
        <v>2288</v>
      </c>
      <c r="H112" s="790" t="str">
        <f>IF(E111="——","——",N61)</f>
        <v>——</v>
      </c>
      <c r="I112" s="138"/>
    </row>
    <row r="113" spans="1:11" ht="18.75" customHeight="1">
      <c r="A113" s="138"/>
      <c r="B113" s="138"/>
      <c r="C113" s="138"/>
      <c r="D113" s="138"/>
      <c r="E113" s="3219" t="s">
        <v>2294</v>
      </c>
      <c r="F113" s="3219"/>
      <c r="G113" s="3219"/>
      <c r="H113" s="3219"/>
      <c r="I113" s="138"/>
    </row>
    <row r="114" spans="1:11" ht="3.75" customHeight="1">
      <c r="A114" s="2414"/>
      <c r="B114" s="2414"/>
      <c r="C114" s="2414"/>
      <c r="D114" s="2414"/>
      <c r="E114" s="2492"/>
      <c r="F114" s="2492"/>
      <c r="G114" s="2492"/>
      <c r="H114" s="2492"/>
      <c r="I114" s="2414"/>
    </row>
    <row r="115" spans="1:11" ht="18.75" customHeight="1">
      <c r="A115" s="3232" t="s">
        <v>2296</v>
      </c>
      <c r="B115" s="3233"/>
      <c r="C115" s="3233"/>
      <c r="D115" s="3233"/>
      <c r="E115" s="3233"/>
      <c r="F115" s="3233"/>
      <c r="G115" s="3233"/>
      <c r="H115" s="3233"/>
      <c r="I115" s="3234"/>
    </row>
    <row r="116" spans="1:11" ht="27" customHeight="1">
      <c r="A116" s="3143" t="s">
        <v>2297</v>
      </c>
      <c r="B116" s="3186" t="s">
        <v>2298</v>
      </c>
      <c r="C116" s="3186" t="s">
        <v>2299</v>
      </c>
      <c r="D116" s="3192" t="s">
        <v>2300</v>
      </c>
      <c r="E116" s="3193"/>
      <c r="F116" s="3228" t="s">
        <v>2301</v>
      </c>
      <c r="G116" s="3228"/>
      <c r="H116" s="3143" t="s">
        <v>2302</v>
      </c>
      <c r="I116" s="3143"/>
    </row>
    <row r="117" spans="1:11" ht="18.75" customHeight="1">
      <c r="A117" s="3143"/>
      <c r="B117" s="3187"/>
      <c r="C117" s="3187"/>
      <c r="D117" s="2991" t="s">
        <v>2303</v>
      </c>
      <c r="E117" s="2991" t="s">
        <v>2304</v>
      </c>
      <c r="F117" s="2991" t="s">
        <v>2303</v>
      </c>
      <c r="G117" s="2991" t="s">
        <v>2305</v>
      </c>
      <c r="H117" s="2991" t="s">
        <v>2303</v>
      </c>
      <c r="I117" s="2991" t="s">
        <v>2305</v>
      </c>
    </row>
    <row r="118" spans="1:11" ht="24.75" customHeight="1">
      <c r="A118" s="2522" t="str">
        <f>项目基本情况!S2</f>
        <v>武汉市东西湖区A地块出让国有建设用地使用权及在建建筑物房地产</v>
      </c>
      <c r="B118" s="2991">
        <f>M18</f>
        <v>1120.92</v>
      </c>
      <c r="C118" s="2991">
        <f>M19</f>
        <v>334.96</v>
      </c>
      <c r="D118" s="2991">
        <f ca="1">ROUND(IF(D32="总价",C34,E118*B118/10000),0)</f>
        <v>894</v>
      </c>
      <c r="E118" s="2991">
        <f ca="1">ROUND(IF(C33="自定义",IF(D32="楼面单价",C34,D118*10000/B118),I118-G118),0)</f>
        <v>7978</v>
      </c>
      <c r="F118" s="2991">
        <f ca="1">ROUND(IF(D32="总价",C35,G118*B118/10000),0)</f>
        <v>369</v>
      </c>
      <c r="G118" s="2991">
        <f ca="1">ROUND(IF(D32="楼面单价",C35,F118*10000/B118),0)</f>
        <v>3290</v>
      </c>
      <c r="H118" s="2991">
        <f ca="1">ROUND(IF(D32="总价",C32,I118*B118/10000),0)</f>
        <v>1263</v>
      </c>
      <c r="I118" s="2991">
        <f ca="1">ROUND(IF(D32="楼面单价",C32,H118*10000/B118),0)</f>
        <v>11268</v>
      </c>
    </row>
    <row r="119" spans="1:11" ht="18.75" customHeight="1">
      <c r="A119" s="3143" t="s">
        <v>2306</v>
      </c>
      <c r="B119" s="3143"/>
      <c r="C119" s="3143"/>
      <c r="D119" s="3188" t="str">
        <f ca="1">NUMBERSTRING(INT(D118*10000),2)&amp;"元整"</f>
        <v>捌佰玖拾肆万元整</v>
      </c>
      <c r="E119" s="3189"/>
      <c r="F119" s="3188" t="str">
        <f ca="1">NUMBERSTRING(INT(F118*10000),2)&amp;"元整"</f>
        <v>叁佰陆拾玖万元整</v>
      </c>
      <c r="G119" s="3189"/>
      <c r="H119" s="3188" t="str">
        <f ca="1">NUMBERSTRING(INT(H118*10000),2)&amp;"元整"</f>
        <v>壹仟贰佰陆拾叁万元整</v>
      </c>
      <c r="I119" s="3189"/>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19" t="str">
        <f>IF(D120=0,"故，本次评估不存在"&amp;A120,"故，本次评估"&amp;A120&amp;"为人民币"&amp;D120&amp;"万元整。")</f>
        <v>故，本次评估不存在估价师知悉的法定优先受偿款</v>
      </c>
    </row>
    <row r="121" spans="1:11" ht="18.75" customHeight="1">
      <c r="A121" s="3229" t="s">
        <v>2306</v>
      </c>
      <c r="B121" s="3230"/>
      <c r="C121" s="3231"/>
      <c r="D121" s="3188" t="str">
        <f>IF(D120=0,"零元整",NUMBERSTRING(INT(D120*10000),2)&amp;"元整")</f>
        <v>零元整</v>
      </c>
      <c r="E121" s="3190"/>
      <c r="F121" s="3190"/>
      <c r="G121" s="3190"/>
      <c r="H121" s="3190"/>
      <c r="I121" s="3189"/>
    </row>
    <row r="122" spans="1:11" ht="18.75" customHeight="1">
      <c r="A122" s="3194" t="str">
        <f>IF(项目基本情况!B9="房地产市场价值","",MID(E107,3,LEN(E107)-2))</f>
        <v>房地产抵押价值</v>
      </c>
      <c r="B122" s="3194"/>
      <c r="C122" s="3194"/>
      <c r="D122" s="3183">
        <f ca="1">H107</f>
        <v>1263</v>
      </c>
      <c r="E122" s="3184"/>
      <c r="F122" s="3184"/>
      <c r="G122" s="3184"/>
      <c r="H122" s="3184"/>
      <c r="I122" s="3185"/>
    </row>
    <row r="123" spans="1:11" ht="18.75" customHeight="1">
      <c r="A123" s="3143" t="s">
        <v>2306</v>
      </c>
      <c r="B123" s="3143"/>
      <c r="C123" s="3143"/>
      <c r="D123" s="3188" t="str">
        <f ca="1">NUMBERSTRING(INT(D122*10000),2)&amp;"元整"</f>
        <v>壹仟贰佰陆拾叁万元整</v>
      </c>
      <c r="E123" s="3190"/>
      <c r="F123" s="3190"/>
      <c r="G123" s="3190"/>
      <c r="H123" s="3190"/>
      <c r="I123" s="3189"/>
    </row>
    <row r="124" spans="1:11" ht="18.75" customHeight="1">
      <c r="A124" s="3194" t="str">
        <f>IF(项目基本情况!B9="房地产市场价值","",MID(E109,3,LEN(E109)-2))</f>
        <v/>
      </c>
      <c r="B124" s="3194"/>
      <c r="C124" s="3194"/>
      <c r="D124" s="3183" t="str">
        <f>H109</f>
        <v>——</v>
      </c>
      <c r="E124" s="3184"/>
      <c r="F124" s="3184"/>
      <c r="G124" s="3184"/>
      <c r="H124" s="3184"/>
      <c r="I124" s="3185"/>
    </row>
    <row r="125" spans="1:11" ht="18.75" customHeight="1">
      <c r="A125" s="3143" t="s">
        <v>2306</v>
      </c>
      <c r="B125" s="3143"/>
      <c r="C125" s="3143"/>
      <c r="D125" s="3188" t="e">
        <f>NUMBERSTRING(INT(D124*10000),2)&amp;"元整"</f>
        <v>#VALUE!</v>
      </c>
      <c r="E125" s="3190"/>
      <c r="F125" s="3190"/>
      <c r="G125" s="3190"/>
      <c r="H125" s="3190"/>
      <c r="I125" s="3189"/>
    </row>
    <row r="126" spans="1:11" ht="18.75" customHeight="1">
      <c r="A126" s="3194" t="str">
        <f>IF(项目基本情况!B9="房地产市场价值","",MID(E111,3,LEN(E111)-2))</f>
        <v/>
      </c>
      <c r="B126" s="3194"/>
      <c r="C126" s="3194"/>
      <c r="D126" s="3183" t="str">
        <f>H111</f>
        <v>——</v>
      </c>
      <c r="E126" s="3184"/>
      <c r="F126" s="3184"/>
      <c r="G126" s="3184"/>
      <c r="H126" s="3184"/>
      <c r="I126" s="3185"/>
    </row>
    <row r="127" spans="1:11" ht="18.75" customHeight="1">
      <c r="A127" s="3143" t="s">
        <v>2306</v>
      </c>
      <c r="B127" s="3143"/>
      <c r="C127" s="3143"/>
      <c r="D127" s="3188" t="e">
        <f>NUMBERSTRING(INT(D126*10000),2)&amp;"元整"</f>
        <v>#VALUE!</v>
      </c>
      <c r="E127" s="3190"/>
      <c r="F127" s="3190"/>
      <c r="G127" s="3190"/>
      <c r="H127" s="3190"/>
      <c r="I127" s="3189"/>
    </row>
    <row r="128" spans="1:11" ht="21.75" customHeight="1">
      <c r="A128" s="3191" t="s">
        <v>2307</v>
      </c>
      <c r="B128" s="3191"/>
      <c r="C128" s="3191"/>
      <c r="D128" s="3191"/>
      <c r="E128" s="3191"/>
      <c r="F128" s="3191"/>
      <c r="G128" s="3191"/>
      <c r="H128" s="3191"/>
      <c r="I128" s="3191"/>
    </row>
    <row r="129" spans="1:35" ht="21.75" customHeight="1">
      <c r="A129" s="2523" t="s">
        <v>2308</v>
      </c>
      <c r="B129" s="2524"/>
      <c r="C129" s="2525" t="s">
        <v>2309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2310</v>
      </c>
      <c r="G135" s="2540"/>
      <c r="H135" s="2540"/>
      <c r="I135" s="2541" t="s">
        <v>2311</v>
      </c>
    </row>
    <row r="136" spans="1:35" ht="21.75" customHeight="1">
      <c r="A136" s="795"/>
      <c r="B136" s="2542"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2313</v>
      </c>
    </row>
    <row r="139" spans="1:35" ht="21.75" customHeight="1">
      <c r="A139" s="795"/>
      <c r="B139" s="2542" t="s">
        <v>2314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34" sqref="H3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2315</v>
      </c>
      <c r="B1" s="1936" t="s">
        <v>1373</v>
      </c>
      <c r="C1" s="242"/>
      <c r="D1" s="242"/>
      <c r="E1" s="242"/>
      <c r="F1" s="242"/>
      <c r="G1" s="1379">
        <f>MATCH(B1,'数据-取费表'!A6:A16,0)+5</f>
        <v>7</v>
      </c>
    </row>
    <row r="2" spans="1:9" s="244" customFormat="1" ht="18" customHeight="1">
      <c r="A2" s="245" t="s">
        <v>2316</v>
      </c>
      <c r="B2" s="246">
        <f ca="1">IF(D2="——",C52,C52-E2)</f>
        <v>1319</v>
      </c>
      <c r="C2" s="243" t="s">
        <v>2317</v>
      </c>
      <c r="D2" s="2545" t="s">
        <v>70</v>
      </c>
      <c r="E2" s="1440" t="e">
        <f ca="1">SUMIF(INDIRECT("'"&amp;G2&amp;"'"&amp;"!A:A"),"承租人权益价值",INDIRECT("'"&amp;G2&amp;"'"&amp;"!c:c"))</f>
        <v>#REF!</v>
      </c>
      <c r="F2" s="2546" t="s">
        <v>2317</v>
      </c>
      <c r="G2" s="2547"/>
    </row>
    <row r="3" spans="1:9" s="244" customFormat="1" ht="18" customHeight="1" thickBot="1">
      <c r="A3" s="247" t="s">
        <v>2318</v>
      </c>
      <c r="B3" s="248">
        <f ca="1">ROUND(B2*10000/(IF(B1="",'数据-汇总表'!E3,INDIRECT("'数据-取费表'!k"&amp;$G$1))),0)</f>
        <v>11767</v>
      </c>
      <c r="C3" s="243" t="s">
        <v>2319</v>
      </c>
      <c r="D3" s="243"/>
      <c r="E3" s="243"/>
      <c r="F3" s="243"/>
      <c r="G3" s="243"/>
    </row>
    <row r="4" spans="1:9" s="252" customFormat="1" ht="16.2">
      <c r="A4" s="249" t="s">
        <v>2320</v>
      </c>
      <c r="B4" s="250"/>
      <c r="C4" s="250"/>
      <c r="D4" s="250"/>
      <c r="E4" s="250"/>
      <c r="F4" s="250"/>
      <c r="G4" s="251"/>
    </row>
    <row r="5" spans="1:9" s="258" customFormat="1" ht="13.5" customHeight="1">
      <c r="A5" s="299" t="s">
        <v>782</v>
      </c>
      <c r="B5" s="254" t="s">
        <v>2322</v>
      </c>
      <c r="C5" s="255">
        <f>C6+C7+C8</f>
        <v>626</v>
      </c>
      <c r="D5" s="255" t="s">
        <v>2323</v>
      </c>
      <c r="E5" s="256" t="s">
        <v>2324</v>
      </c>
      <c r="F5" s="256" t="s">
        <v>2325</v>
      </c>
      <c r="G5" s="257"/>
    </row>
    <row r="6" spans="1:9" s="258" customFormat="1" ht="13.5" customHeight="1">
      <c r="A6" s="949" t="s">
        <v>791</v>
      </c>
      <c r="B6" s="259" t="s">
        <v>2327</v>
      </c>
      <c r="C6" s="260">
        <f>ROUND('土地比较法-住宅、综合'!C47*'数据-汇总表'!F20/10000,0)</f>
        <v>602</v>
      </c>
      <c r="D6" s="261"/>
      <c r="E6" s="262"/>
      <c r="F6" s="262"/>
      <c r="G6" s="263"/>
    </row>
    <row r="7" spans="1:9" s="258" customFormat="1" ht="13.5" customHeight="1">
      <c r="A7" s="949" t="s">
        <v>792</v>
      </c>
      <c r="B7" s="259" t="s">
        <v>2329</v>
      </c>
      <c r="C7" s="264">
        <f>ROUND(C6*F7,0)</f>
        <v>24</v>
      </c>
      <c r="D7" s="264"/>
      <c r="E7" s="262"/>
      <c r="F7" s="265">
        <f>IF(项目基本情况!B8="出让",0,'数据-取费表'!B48+'数据-取费表'!B49)</f>
        <v>4.0500000000000001E-2</v>
      </c>
      <c r="G7" s="263"/>
    </row>
    <row r="8" spans="1:9" s="267" customFormat="1">
      <c r="A8" s="949" t="s">
        <v>793</v>
      </c>
      <c r="B8" s="259" t="s">
        <v>2331</v>
      </c>
      <c r="C8" s="264">
        <f>IF(G8="已包含在土地购买价格中","0",IF(B1="",'数据-取费表'!B29,IF(G9="全部缴纳",C9+C10,H9)))</f>
        <v>0</v>
      </c>
      <c r="D8" s="266"/>
      <c r="E8" s="264"/>
      <c r="F8" s="265"/>
      <c r="G8" s="2548" t="s">
        <v>3206</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100</v>
      </c>
      <c r="F9" s="265"/>
      <c r="G9" s="2549"/>
      <c r="H9" s="1390"/>
      <c r="I9" s="2550" t="s">
        <v>2333</v>
      </c>
    </row>
    <row r="10" spans="1:9" s="258" customFormat="1" ht="13.5" customHeight="1">
      <c r="A10" s="950" t="s">
        <v>801</v>
      </c>
      <c r="B10" s="268" t="s">
        <v>2334</v>
      </c>
      <c r="C10" s="269">
        <f ca="1">ROUND(D10*E10/10000,0)</f>
        <v>11</v>
      </c>
      <c r="D10" s="1032">
        <f ca="1">IF(B1="",'数据-汇总表'!E6,IF(INDIRECT("'数据-取费表'!c"&amp;$G$1)="住宅",INDIRECT("'数据-取费表'!s"&amp;$G$1),INDIRECT("'数据-取费表'!k"&amp;$G$1)+INDIRECT("'数据-取费表'!s"&amp;$G$1)))</f>
        <v>1120.92</v>
      </c>
      <c r="E10" s="269">
        <f>'数据-取费表'!B28</f>
        <v>100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2331</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1120.92</v>
      </c>
      <c r="E19" s="255">
        <f>'数据-取费表'!B31</f>
        <v>200</v>
      </c>
      <c r="F19" s="275"/>
      <c r="G19" s="2548" t="s">
        <v>3207</v>
      </c>
    </row>
    <row r="20" spans="1:7" s="258" customFormat="1" ht="13.5" customHeight="1">
      <c r="A20" s="299" t="s">
        <v>2347</v>
      </c>
      <c r="B20" s="254" t="s">
        <v>2348</v>
      </c>
      <c r="C20" s="276">
        <f>ROUND((C5+C19)*F20,0)</f>
        <v>19</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40</v>
      </c>
      <c r="D22" s="279">
        <f ca="1">C26</f>
        <v>8.9999999999999998E-4</v>
      </c>
      <c r="E22" s="280" t="s">
        <v>2352</v>
      </c>
      <c r="F22" s="281">
        <f ca="1">'数据-取费表'!B40</f>
        <v>4.7500000000000001E-2</v>
      </c>
      <c r="G22" s="278" t="str">
        <f>IF('数据-取费表'!B22&lt;=1,"单利计息","复利计息")</f>
        <v>复利计息</v>
      </c>
    </row>
    <row r="23" spans="1:7" s="258" customFormat="1" ht="13.5" customHeight="1">
      <c r="A23" s="951" t="s">
        <v>791</v>
      </c>
      <c r="B23" s="259" t="s">
        <v>2357</v>
      </c>
      <c r="C23" s="1355">
        <f ca="1">ROUND(IF('数据-取费表'!B22&lt;=1,C5*F22*'数据-取费表'!B23,C5*(POWER((1+F22),'数据-取费表'!B23)-1)),0)</f>
        <v>39</v>
      </c>
      <c r="D23" s="282"/>
      <c r="E23" s="282"/>
      <c r="F23" s="283"/>
      <c r="G23" s="284" t="s">
        <v>2358</v>
      </c>
    </row>
    <row r="24" spans="1:7" s="258" customFormat="1" ht="13.5" customHeight="1">
      <c r="A24" s="951" t="s">
        <v>792</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793</v>
      </c>
      <c r="B25" s="259" t="s">
        <v>2363</v>
      </c>
      <c r="C25" s="1355">
        <f ca="1">ROUND(IF('数据-取费表'!B22&lt;=1,C20*F22*'数据-取费表'!B23/2,C20*(POWER((1+F22),'数据-取费表'!B23/2)-1)),0)</f>
        <v>1</v>
      </c>
      <c r="D25" s="282"/>
      <c r="E25" s="285"/>
      <c r="F25" s="283"/>
      <c r="G25" s="286" t="s">
        <v>2364</v>
      </c>
    </row>
    <row r="26" spans="1:7" s="258" customFormat="1">
      <c r="A26" s="951" t="s">
        <v>795</v>
      </c>
      <c r="B26" s="259" t="s">
        <v>2365</v>
      </c>
      <c r="C26" s="282">
        <f ca="1">ROUND(IF('数据-取费表'!B22&lt;=1,F21*F22*'数据-取费表'!B23/2,F21*(POWER((1+F22),'数据-取费表'!B23/2)-1)),4)</f>
        <v>8.9999999999999998E-4</v>
      </c>
      <c r="D26" s="282"/>
      <c r="E26" s="285"/>
      <c r="F26" s="283"/>
      <c r="G26" s="287"/>
    </row>
    <row r="27" spans="1:7" s="258" customFormat="1" ht="26.4">
      <c r="A27" s="299" t="s">
        <v>2366</v>
      </c>
      <c r="B27" s="288" t="s">
        <v>2367</v>
      </c>
      <c r="C27" s="289">
        <f ca="1">C28</f>
        <v>67</v>
      </c>
      <c r="D27" s="279">
        <f ca="1">C29</f>
        <v>3.0999999999999999E-3</v>
      </c>
      <c r="E27" s="280" t="s">
        <v>2368</v>
      </c>
      <c r="F27" s="290">
        <f ca="1">IF(B1="",'数据-取费表'!Q16,INDIRECT("'数据-取费表'!q"&amp;$G$1))</f>
        <v>0.2</v>
      </c>
      <c r="G27" s="291" t="s">
        <v>2369</v>
      </c>
    </row>
    <row r="28" spans="1:7" s="258" customFormat="1" ht="13.5" customHeight="1">
      <c r="A28" s="951" t="s">
        <v>791</v>
      </c>
      <c r="B28" s="292" t="s">
        <v>2370</v>
      </c>
      <c r="C28" s="293">
        <f ca="1">ROUND((C5+C19+C20)*F27*'数据-取费表'!B21/'数据-取费表'!B20,0)</f>
        <v>67</v>
      </c>
      <c r="D28" s="279"/>
      <c r="E28" s="280"/>
      <c r="F28" s="290"/>
      <c r="G28" s="291"/>
    </row>
    <row r="29" spans="1:7" s="258" customFormat="1" ht="13.5" customHeight="1">
      <c r="A29" s="951" t="s">
        <v>792</v>
      </c>
      <c r="B29" s="292" t="s">
        <v>2371</v>
      </c>
      <c r="C29" s="282">
        <f ca="1">ROUND(C21*F27*'数据-取费表'!B21/'数据-取费表'!B20,4)</f>
        <v>3.0999999999999999E-3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824</v>
      </c>
      <c r="D31" s="274"/>
      <c r="E31" s="255"/>
      <c r="F31" s="294"/>
      <c r="G31" s="278" t="s">
        <v>2376</v>
      </c>
    </row>
    <row r="32" spans="1:7" s="252" customFormat="1" ht="16.2">
      <c r="A32" s="296" t="s">
        <v>2377</v>
      </c>
      <c r="B32" s="297"/>
      <c r="C32" s="297"/>
      <c r="D32" s="297"/>
      <c r="E32" s="297"/>
      <c r="F32" s="297"/>
      <c r="G32" s="298"/>
    </row>
    <row r="33" spans="1:8" s="258" customFormat="1" ht="13.5" customHeight="1">
      <c r="A33" s="299" t="s">
        <v>782</v>
      </c>
      <c r="B33" s="254" t="s">
        <v>2378</v>
      </c>
      <c r="C33" s="300">
        <f ca="1">SUM(C34:C38)</f>
        <v>355</v>
      </c>
      <c r="D33" s="276"/>
      <c r="E33" s="256"/>
      <c r="F33" s="285"/>
      <c r="G33" s="278"/>
      <c r="H33" s="3069">
        <f ca="1">C34+成本法!C34</f>
        <v>10782</v>
      </c>
    </row>
    <row r="34" spans="1:8"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319</v>
      </c>
      <c r="D34" s="261"/>
      <c r="E34" s="264"/>
      <c r="F34" s="301">
        <f ca="1">IF('数据-取费表'!B24=0,1,IF(B1="",'数据-取费表'!N16,INDIRECT("'数据-取费表'!n"&amp;$G$1)))</f>
        <v>0.95</v>
      </c>
      <c r="G34" s="263" t="s">
        <v>2380</v>
      </c>
    </row>
    <row r="35" spans="1:8" ht="13.5" customHeight="1">
      <c r="A35" s="951" t="s">
        <v>796</v>
      </c>
      <c r="B35" s="259" t="s">
        <v>2381</v>
      </c>
      <c r="C35" s="264">
        <f ca="1">ROUND(C34*F35,0)</f>
        <v>10</v>
      </c>
      <c r="D35" s="264"/>
      <c r="E35" s="264"/>
      <c r="F35" s="303">
        <f>'数据-取费表'!B33</f>
        <v>0.03</v>
      </c>
      <c r="G35" s="263" t="s">
        <v>2382</v>
      </c>
    </row>
    <row r="36" spans="1:8"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2384</v>
      </c>
    </row>
    <row r="37" spans="1:8" s="302" customFormat="1" ht="13.5" customHeight="1">
      <c r="A37" s="951" t="s">
        <v>798</v>
      </c>
      <c r="B37" s="259" t="s">
        <v>2385</v>
      </c>
      <c r="C37" s="293">
        <f ca="1">ROUND(E37*D37*F34/10000,0)</f>
        <v>21</v>
      </c>
      <c r="D37" s="261">
        <f ca="1">D19</f>
        <v>1120.92</v>
      </c>
      <c r="E37" s="293">
        <f>'数据-取费表'!B35</f>
        <v>200</v>
      </c>
      <c r="F37" s="303"/>
      <c r="G37" s="305" t="s">
        <v>2386</v>
      </c>
    </row>
    <row r="38" spans="1:8" ht="13.5" customHeight="1">
      <c r="A38" s="951" t="s">
        <v>799</v>
      </c>
      <c r="B38" s="259" t="s">
        <v>2387</v>
      </c>
      <c r="C38" s="264">
        <f ca="1">ROUND(C34*F38,0)</f>
        <v>5</v>
      </c>
      <c r="D38" s="264"/>
      <c r="E38" s="264"/>
      <c r="F38" s="303">
        <f>'数据-取费表'!B36</f>
        <v>1.4999999999999999E-2</v>
      </c>
      <c r="G38" s="263" t="s">
        <v>2382</v>
      </c>
    </row>
    <row r="39" spans="1:8" s="258" customFormat="1" ht="13.5" customHeight="1">
      <c r="A39" s="299" t="s">
        <v>2345</v>
      </c>
      <c r="B39" s="254" t="s">
        <v>2348</v>
      </c>
      <c r="C39" s="276">
        <f ca="1">ROUND(C33*F20,0)</f>
        <v>11</v>
      </c>
      <c r="D39" s="276"/>
      <c r="E39" s="276"/>
      <c r="F39" s="277"/>
      <c r="G39" s="278" t="s">
        <v>2390</v>
      </c>
    </row>
    <row r="40" spans="1:8" s="258" customFormat="1" ht="13.5" customHeight="1">
      <c r="A40" s="299" t="s">
        <v>2391</v>
      </c>
      <c r="B40" s="254" t="s">
        <v>2351</v>
      </c>
      <c r="C40" s="1728">
        <f>F21</f>
        <v>0.03</v>
      </c>
      <c r="D40" s="280" t="s">
        <v>2393</v>
      </c>
      <c r="E40" s="276"/>
      <c r="F40" s="277"/>
      <c r="G40" s="278" t="s">
        <v>2394</v>
      </c>
    </row>
    <row r="41" spans="1:8" s="258" customFormat="1" ht="13.5" customHeight="1">
      <c r="A41" s="299" t="s">
        <v>2395</v>
      </c>
      <c r="B41" s="254" t="s">
        <v>2396</v>
      </c>
      <c r="C41" s="276">
        <f ca="1">ROUND(SUM(C42:C43),0)</f>
        <v>11</v>
      </c>
      <c r="D41" s="279">
        <f ca="1">C44</f>
        <v>8.9999999999999998E-4</v>
      </c>
      <c r="E41" s="280" t="s">
        <v>2393</v>
      </c>
      <c r="F41" s="281"/>
      <c r="G41" s="278" t="str">
        <f>IF('数据-取费表'!B22&lt;=1,"单利计息","复利计息")</f>
        <v>复利计息</v>
      </c>
    </row>
    <row r="42" spans="1:8" ht="13.5" customHeight="1">
      <c r="A42" s="951" t="s">
        <v>791</v>
      </c>
      <c r="B42" s="259" t="s">
        <v>2357</v>
      </c>
      <c r="C42" s="282">
        <f ca="1">ROUND(IF('数据-取费表'!B22&lt;=1,C33*F22*'数据-取费表'!B21/2,C33*(POWER((1+F22),'数据-取费表'!B21/2)-1)),0)</f>
        <v>11</v>
      </c>
      <c r="D42" s="282"/>
      <c r="E42" s="282"/>
      <c r="F42" s="283"/>
      <c r="G42" s="3263" t="s">
        <v>2398</v>
      </c>
    </row>
    <row r="43" spans="1:8" ht="13.5" customHeight="1">
      <c r="A43" s="951" t="s">
        <v>792</v>
      </c>
      <c r="B43" s="259" t="s">
        <v>2399</v>
      </c>
      <c r="C43" s="282">
        <f ca="1">ROUND(IF('数据-取费表'!B22&lt;=1,C39*F22*'数据-取费表'!B21/2,C39*(POWER((1+F22),'数据-取费表'!B21/2)-1)),0)</f>
        <v>0</v>
      </c>
      <c r="D43" s="282"/>
      <c r="E43" s="282"/>
      <c r="F43" s="283"/>
      <c r="G43" s="3264"/>
    </row>
    <row r="44" spans="1:8" ht="13.5" customHeight="1">
      <c r="A44" s="951" t="s">
        <v>793</v>
      </c>
      <c r="B44" s="259" t="s">
        <v>2363</v>
      </c>
      <c r="C44" s="282">
        <f ca="1">ROUND(IF('数据-取费表'!B22&lt;=1,C40*F22*'数据-取费表'!B21/2,C40*(POWER((1+F22),'数据-取费表'!B21/2)-1)),4)</f>
        <v>8.9999999999999998E-4</v>
      </c>
      <c r="D44" s="282"/>
      <c r="E44" s="282"/>
      <c r="F44" s="283"/>
      <c r="G44" s="3265"/>
    </row>
    <row r="45" spans="1:8" s="258" customFormat="1" ht="13.5" customHeight="1">
      <c r="A45" s="299" t="s">
        <v>2401</v>
      </c>
      <c r="B45" s="288" t="s">
        <v>2367</v>
      </c>
      <c r="C45" s="289">
        <f ca="1">C46</f>
        <v>73</v>
      </c>
      <c r="D45" s="279">
        <f ca="1">C47</f>
        <v>6.0000000000000001E-3</v>
      </c>
      <c r="E45" s="280" t="s">
        <v>2393</v>
      </c>
      <c r="F45" s="290"/>
      <c r="G45" s="291" t="s">
        <v>2402</v>
      </c>
    </row>
    <row r="46" spans="1:8" s="258" customFormat="1" ht="13.5" customHeight="1">
      <c r="A46" s="951" t="s">
        <v>791</v>
      </c>
      <c r="B46" s="292" t="s">
        <v>2403</v>
      </c>
      <c r="C46" s="293">
        <f ca="1">ROUND((C33+C39)*F27,0)</f>
        <v>73</v>
      </c>
      <c r="D46" s="307"/>
      <c r="E46" s="280"/>
      <c r="F46" s="290"/>
      <c r="G46" s="291"/>
    </row>
    <row r="47" spans="1:8" s="258" customFormat="1" ht="13.5" customHeight="1">
      <c r="A47" s="951" t="s">
        <v>792</v>
      </c>
      <c r="B47" s="292" t="s">
        <v>2404</v>
      </c>
      <c r="C47" s="282">
        <f ca="1">ROUND(C40*F27,4)</f>
        <v>6.0000000000000001E-3</v>
      </c>
      <c r="D47" s="307"/>
      <c r="E47" s="280"/>
      <c r="F47" s="290"/>
      <c r="G47" s="291"/>
    </row>
    <row r="48" spans="1:8" s="258" customFormat="1" ht="13.5" customHeight="1">
      <c r="A48" s="299" t="s">
        <v>2366</v>
      </c>
      <c r="B48" s="254" t="s">
        <v>2405</v>
      </c>
      <c r="C48" s="1728">
        <f>ROUND(F30/(1+'数据-取费表'!C42),4)</f>
        <v>5.33E-2</v>
      </c>
      <c r="D48" s="280" t="s">
        <v>2393</v>
      </c>
      <c r="E48" s="276"/>
      <c r="F48" s="281"/>
      <c r="G48" s="278" t="s">
        <v>2406</v>
      </c>
    </row>
    <row r="49" spans="1:7" ht="16.5" customHeight="1">
      <c r="A49" s="299" t="s">
        <v>2372</v>
      </c>
      <c r="B49" s="254" t="s">
        <v>2407</v>
      </c>
      <c r="C49" s="276">
        <f ca="1">ROUND((C33+C39+C41+C45)/(1-C40-D41-D45-C48),0)</f>
        <v>495</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495</v>
      </c>
      <c r="D51" s="276"/>
      <c r="E51" s="276"/>
      <c r="F51" s="308"/>
      <c r="G51" s="278" t="s">
        <v>2414</v>
      </c>
    </row>
    <row r="52" spans="1:7" s="252" customFormat="1" ht="16.8" thickBot="1">
      <c r="A52" s="309" t="s">
        <v>2415</v>
      </c>
      <c r="B52" s="310"/>
      <c r="C52" s="311">
        <f ca="1">C31+C51</f>
        <v>1319</v>
      </c>
      <c r="D52" s="310"/>
      <c r="E52" s="310"/>
      <c r="F52" s="310"/>
      <c r="G52" s="312"/>
    </row>
    <row r="55" spans="1:7" ht="15">
      <c r="B55" s="314" t="s">
        <v>2416</v>
      </c>
      <c r="C55" s="315"/>
    </row>
    <row r="56" spans="1:7">
      <c r="B56" s="317" t="s">
        <v>1508</v>
      </c>
      <c r="C56" s="319">
        <f ca="1">1-C57</f>
        <v>0.625</v>
      </c>
    </row>
    <row r="57" spans="1:7">
      <c r="B57" s="317" t="s">
        <v>1509</v>
      </c>
      <c r="C57" s="318">
        <f ca="1">ROUND(C51/C52,3)</f>
        <v>0.375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1636</v>
      </c>
      <c r="B2" s="3089" t="s">
        <v>1637</v>
      </c>
      <c r="C2" s="3089" t="s">
        <v>1638</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6">
      <c r="A3" s="3090"/>
      <c r="B3" s="3090"/>
      <c r="C3" s="3090"/>
      <c r="D3" s="1044" t="s">
        <v>1633</v>
      </c>
      <c r="E3" s="1044" t="s">
        <v>1639</v>
      </c>
      <c r="F3" s="1044" t="s">
        <v>1633</v>
      </c>
      <c r="G3" s="1044" t="s">
        <v>1634</v>
      </c>
      <c r="H3" s="1044" t="s">
        <v>1633</v>
      </c>
      <c r="I3" s="1044" t="s">
        <v>1634</v>
      </c>
    </row>
    <row r="4" spans="1:9" ht="45">
      <c r="A4" s="1972" t="str">
        <f>项目基本情况!S2</f>
        <v>武汉市东西湖区A地块出让国有建设用地使用权及在建建筑物房地产</v>
      </c>
      <c r="B4" s="1044">
        <f>项目基本情况!C17</f>
        <v>55474.460000000014</v>
      </c>
      <c r="C4" s="1044">
        <f>项目基本情况!C18</f>
        <v>16576.98</v>
      </c>
      <c r="D4" s="1044">
        <f ca="1">结果表!D118</f>
        <v>38569</v>
      </c>
      <c r="E4" s="1044">
        <f ca="1">结果表!E118</f>
        <v>7096</v>
      </c>
      <c r="F4" s="1044">
        <f ca="1">结果表!F118</f>
        <v>15909</v>
      </c>
      <c r="G4" s="1044">
        <f ca="1">结果表!G118</f>
        <v>2927</v>
      </c>
      <c r="H4" s="1044">
        <f ca="1">结果表!H118</f>
        <v>54479</v>
      </c>
      <c r="I4" s="1044">
        <f ca="1">结果表!I118</f>
        <v>10023</v>
      </c>
    </row>
    <row r="5" spans="1:9" ht="30" customHeight="1">
      <c r="A5" s="3090" t="s">
        <v>1635</v>
      </c>
      <c r="B5" s="3090"/>
      <c r="C5" s="3090"/>
      <c r="D5" s="3091" t="str">
        <f ca="1">结果表!D119</f>
        <v>叁亿捌仟伍佰陆拾玖万元整</v>
      </c>
      <c r="E5" s="3091"/>
      <c r="F5" s="3091" t="str">
        <f ca="1">结果表!F119</f>
        <v>壹亿伍仟玖佰零玖万元整</v>
      </c>
      <c r="G5" s="3091"/>
      <c r="H5" s="3091" t="str">
        <f ca="1">结果表!H119</f>
        <v>伍亿肆仟肆佰柒拾玖万元整</v>
      </c>
      <c r="I5" s="3091"/>
    </row>
    <row r="6" spans="1:9" ht="15.6">
      <c r="A6" s="3092" t="str">
        <f>结果表!A120</f>
        <v>估价师知悉的法定优先受偿款</v>
      </c>
      <c r="B6" s="3092"/>
      <c r="C6" s="3092"/>
      <c r="D6" s="3092">
        <f>结果表!D120</f>
        <v>409.62</v>
      </c>
      <c r="E6" s="3092"/>
      <c r="F6" s="3092"/>
      <c r="G6" s="3092"/>
      <c r="H6" s="3092"/>
      <c r="I6" s="3092"/>
    </row>
    <row r="7" spans="1:9" ht="15">
      <c r="A7" s="3090" t="s">
        <v>1635</v>
      </c>
      <c r="B7" s="3090"/>
      <c r="C7" s="3090"/>
      <c r="D7" s="3093" t="str">
        <f>结果表!D121</f>
        <v>肆佰零玖万陆仟贰佰元整</v>
      </c>
      <c r="E7" s="3094"/>
      <c r="F7" s="3094"/>
      <c r="G7" s="3094"/>
      <c r="H7" s="3094"/>
      <c r="I7" s="3095"/>
    </row>
    <row r="8" spans="1:9" ht="15.6">
      <c r="A8" s="3092" t="str">
        <f>结果表!A122</f>
        <v>房地产抵押价值</v>
      </c>
      <c r="B8" s="3092"/>
      <c r="C8" s="3092"/>
      <c r="D8" s="3092">
        <f ca="1">结果表!D122</f>
        <v>54069.38</v>
      </c>
      <c r="E8" s="3092"/>
      <c r="F8" s="3092"/>
      <c r="G8" s="3092"/>
      <c r="H8" s="3092"/>
      <c r="I8" s="3092"/>
    </row>
    <row r="9" spans="1:9" ht="15">
      <c r="A9" s="3090" t="s">
        <v>1635</v>
      </c>
      <c r="B9" s="3090"/>
      <c r="C9" s="3090"/>
      <c r="D9" s="3091" t="str">
        <f ca="1">结果表!D123</f>
        <v>伍亿肆仟零陆拾玖万叁仟捌佰元整</v>
      </c>
      <c r="E9" s="3091"/>
      <c r="F9" s="3091"/>
      <c r="G9" s="3091"/>
      <c r="H9" s="3091"/>
      <c r="I9" s="3091"/>
    </row>
    <row r="10" spans="1:9" ht="15.6">
      <c r="A10" s="3092" t="str">
        <f>结果表!A124</f>
        <v/>
      </c>
      <c r="B10" s="3092"/>
      <c r="C10" s="3092"/>
      <c r="D10" s="3092" t="str">
        <f>结果表!D124</f>
        <v>——</v>
      </c>
      <c r="E10" s="3092"/>
      <c r="F10" s="3092"/>
      <c r="G10" s="3092"/>
      <c r="H10" s="3092"/>
      <c r="I10" s="3092"/>
    </row>
    <row r="11" spans="1:9" ht="15">
      <c r="A11" s="3090" t="s">
        <v>1635</v>
      </c>
      <c r="B11" s="3090"/>
      <c r="C11" s="3090"/>
      <c r="D11" s="3091" t="e">
        <f>结果表!D125</f>
        <v>#VALUE!</v>
      </c>
      <c r="E11" s="3091"/>
      <c r="F11" s="3091"/>
      <c r="G11" s="3091"/>
      <c r="H11" s="3091"/>
      <c r="I11" s="3091"/>
    </row>
    <row r="12" spans="1:9" ht="15.6">
      <c r="A12" s="3092" t="str">
        <f>结果表!A126</f>
        <v/>
      </c>
      <c r="B12" s="3092"/>
      <c r="C12" s="3092"/>
      <c r="D12" s="3092" t="str">
        <f>结果表!D126</f>
        <v>——</v>
      </c>
      <c r="E12" s="3092"/>
      <c r="F12" s="3092"/>
      <c r="G12" s="3092"/>
      <c r="H12" s="3092"/>
      <c r="I12" s="3092"/>
    </row>
    <row r="13" spans="1:9" ht="15.6" thickBot="1">
      <c r="A13" s="3096" t="s">
        <v>1635</v>
      </c>
      <c r="B13" s="3096"/>
      <c r="C13" s="3096"/>
      <c r="D13" s="3097" t="e">
        <f>结果表!D127</f>
        <v>#VALUE!</v>
      </c>
      <c r="E13" s="3097"/>
      <c r="F13" s="3097"/>
      <c r="G13" s="3097"/>
      <c r="H13" s="3097"/>
      <c r="I13" s="3097"/>
    </row>
    <row r="14" spans="1:9" ht="14.4" thickTop="1">
      <c r="A14" s="3098" t="s">
        <v>1640</v>
      </c>
      <c r="B14" s="3098"/>
      <c r="C14" s="3098"/>
      <c r="D14" s="3098"/>
      <c r="E14" s="3098"/>
      <c r="F14" s="3098"/>
      <c r="G14" s="3098"/>
      <c r="H14" s="3098"/>
      <c r="I14" s="3098"/>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E30" sqref="E30"/>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2448</v>
      </c>
      <c r="B1" s="1581"/>
      <c r="C1" s="1582" t="s">
        <v>1373</v>
      </c>
      <c r="D1" s="1580"/>
      <c r="E1" s="320"/>
      <c r="F1" s="320"/>
      <c r="G1" s="1581"/>
      <c r="H1" s="320"/>
      <c r="I1" s="320"/>
      <c r="J1" s="320"/>
      <c r="K1" s="320">
        <f>MATCH(C1,'数据-取费表'!A6:A16,0)+5</f>
        <v>7</v>
      </c>
    </row>
    <row r="2" spans="1:33" ht="18" customHeight="1">
      <c r="A2" s="245" t="s">
        <v>2316</v>
      </c>
      <c r="B2" s="248">
        <f ca="1">C32</f>
        <v>1207</v>
      </c>
      <c r="C2" s="320" t="s">
        <v>2449</v>
      </c>
      <c r="D2" s="320"/>
      <c r="E2" s="320"/>
      <c r="F2" s="320"/>
      <c r="G2" s="320"/>
      <c r="H2" s="320"/>
      <c r="I2" s="320"/>
      <c r="J2" s="320"/>
      <c r="K2" s="320"/>
    </row>
    <row r="3" spans="1:33" ht="18" customHeight="1" thickBot="1">
      <c r="A3" s="247" t="s">
        <v>2318</v>
      </c>
      <c r="B3" s="248">
        <f ca="1">ROUND(B2*10000/IF(C1="",'数据-汇总表'!E3,INDIRECT("'数据-取费表'!K"&amp;$K$1)),0)</f>
        <v>10768</v>
      </c>
      <c r="C3" s="320" t="s">
        <v>2450</v>
      </c>
      <c r="D3" s="320"/>
      <c r="E3" s="320"/>
      <c r="F3" s="320"/>
      <c r="G3" s="320"/>
      <c r="H3" s="320"/>
      <c r="I3" s="320"/>
      <c r="J3" s="320"/>
      <c r="K3" s="320"/>
    </row>
    <row r="4" spans="1:33" s="956" customFormat="1" ht="16.5" customHeight="1">
      <c r="A4" s="953" t="s">
        <v>2451</v>
      </c>
      <c r="B4" s="954"/>
      <c r="C4" s="996">
        <f ca="1">SUM(C8:K8)</f>
        <v>1571</v>
      </c>
      <c r="D4" s="954"/>
      <c r="E4" s="954"/>
      <c r="F4" s="954"/>
      <c r="G4" s="954"/>
      <c r="H4" s="954"/>
      <c r="I4" s="954"/>
      <c r="J4" s="954"/>
      <c r="K4" s="955"/>
    </row>
    <row r="5" spans="1:33" s="960" customFormat="1" ht="14.4">
      <c r="A5" s="957" t="s">
        <v>2452</v>
      </c>
      <c r="B5" s="958" t="s">
        <v>2453</v>
      </c>
      <c r="C5" s="2552" t="s">
        <v>1373</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 ca="1">'收益法 (元)'!B3</f>
        <v>14017</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 (商业)'!C5,'数据-汇总表'!$E19:$E33)</f>
        <v>1120.92</v>
      </c>
      <c r="D7" s="321">
        <f>SUMIF('数据-汇总表'!$C19:$C33,'假设开发法 (商业)'!D5,'数据-汇总表'!$E19:$E33)</f>
        <v>0</v>
      </c>
      <c r="E7" s="321">
        <f>SUMIF('数据-汇总表'!$C19:$C33,'假设开发法 (商业)'!E5,'数据-汇总表'!$E19:$E33)</f>
        <v>0</v>
      </c>
      <c r="F7" s="321">
        <f>SUMIF('数据-汇总表'!$C19:$C33,'假设开发法 (商业)'!F5,'数据-汇总表'!$E19:$E33)</f>
        <v>0</v>
      </c>
      <c r="G7" s="321">
        <f>SUMIF('数据-汇总表'!$C19:$C33,'假设开发法 (商业)'!G5,'数据-汇总表'!$E19:$E33)</f>
        <v>0</v>
      </c>
      <c r="H7" s="321">
        <f>SUMIF('数据-汇总表'!$C19:$C33,'假设开发法 (商业)'!H5,'数据-汇总表'!$E19:$E33)</f>
        <v>0</v>
      </c>
      <c r="I7" s="321">
        <f>SUMIF('数据-汇总表'!$C19:$C33,'假设开发法 (商业)'!I5,'数据-汇总表'!$E19:$E33)</f>
        <v>0</v>
      </c>
      <c r="J7" s="321">
        <f>SUMIF('数据-汇总表'!$C19:$C33,'假设开发法 (商业)'!J5,'数据-汇总表'!$E19:$E33)</f>
        <v>0</v>
      </c>
      <c r="K7" s="322">
        <f>SUMIF('数据-汇总表'!$C19:$C33,'假设开发法 (商业)'!K5,'数据-汇总表'!$E19:$E33)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2457</v>
      </c>
      <c r="B8" s="177" t="s">
        <v>2458</v>
      </c>
      <c r="C8" s="997">
        <f ca="1">'收益法 (元)'!B2</f>
        <v>1571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2452</v>
      </c>
      <c r="B10" s="8" t="s">
        <v>2453</v>
      </c>
      <c r="C10" s="966" t="s">
        <v>2462</v>
      </c>
      <c r="D10" s="2992" t="s">
        <v>2463</v>
      </c>
      <c r="E10" s="2992" t="s">
        <v>2464</v>
      </c>
      <c r="F10" s="2992" t="s">
        <v>2465</v>
      </c>
      <c r="G10" s="8"/>
      <c r="H10" s="968"/>
      <c r="I10" s="968"/>
      <c r="J10" s="968"/>
      <c r="K10" s="969"/>
    </row>
    <row r="11" spans="1:33" s="975" customFormat="1" ht="13.5" customHeight="1">
      <c r="A11" s="971" t="s">
        <v>800</v>
      </c>
      <c r="B11" s="972" t="s">
        <v>2466</v>
      </c>
      <c r="C11" s="323">
        <f ca="1">IF(C1="",'数据-取费表'!P16,INDIRECT("'数据-取费表'!p"&amp;$K$1)+INDIRECT("'数据-取费表'!ar"&amp;$K$1))</f>
        <v>17</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1331</v>
      </c>
      <c r="B12" s="972" t="s">
        <v>2467</v>
      </c>
      <c r="C12" s="24">
        <f ca="1">ROUND(C11*F12,0)</f>
        <v>1</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0.05</v>
      </c>
      <c r="G13" s="8" t="s">
        <v>2470</v>
      </c>
      <c r="H13" s="968"/>
      <c r="I13" s="968"/>
      <c r="J13" s="968"/>
      <c r="K13" s="969"/>
    </row>
    <row r="14" spans="1:33" s="977" customFormat="1" ht="13.5" customHeight="1">
      <c r="A14" s="971" t="s">
        <v>1333</v>
      </c>
      <c r="B14" s="972" t="s">
        <v>2471</v>
      </c>
      <c r="C14" s="24">
        <f ca="1">ROUND(D14*E14*F11/10000,0)</f>
        <v>1</v>
      </c>
      <c r="D14" s="1033">
        <f ca="1">IF(C1="",'数据-汇总表'!E3,INDIRECT("'数据-取费表'!K"&amp;$K$1)+INDIRECT("'数据-取费表'!S"&amp;$K$1))</f>
        <v>1120.92</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19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1120.92</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11</v>
      </c>
      <c r="D18" s="1033"/>
      <c r="E18" s="24"/>
      <c r="F18" s="976"/>
      <c r="G18" s="2554"/>
      <c r="H18" s="1577"/>
      <c r="I18" s="2555"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100</v>
      </c>
      <c r="F19" s="976"/>
      <c r="G19" s="2995"/>
      <c r="H19" s="1579"/>
      <c r="I19" s="981"/>
      <c r="J19" s="981"/>
      <c r="K19" s="982"/>
    </row>
    <row r="20" spans="1:33" s="975" customFormat="1" ht="13.5" customHeight="1">
      <c r="A20" s="971" t="s">
        <v>806</v>
      </c>
      <c r="B20" s="972" t="s">
        <v>2481</v>
      </c>
      <c r="C20" s="24">
        <f ca="1">ROUND(D20*E20/10000,0)</f>
        <v>11</v>
      </c>
      <c r="D20" s="1033">
        <f ca="1">IF(C1="",'数据-汇总表'!E6,IF(INDIRECT("'数据-取费表'!c"&amp;$K$1)="住宅",INDIRECT("'数据-取费表'!s"&amp;$K$1),INDIRECT("'数据-取费表'!k"&amp;$K$1)+INDIRECT("'数据-取费表'!s"&amp;$K$1)))</f>
        <v>1120.92</v>
      </c>
      <c r="E20" s="24">
        <f>'数据-取费表'!B28</f>
        <v>100</v>
      </c>
      <c r="F20" s="976"/>
      <c r="G20" s="2995"/>
      <c r="H20" s="981"/>
      <c r="I20" s="981"/>
      <c r="J20" s="981"/>
      <c r="K20" s="982"/>
    </row>
    <row r="21" spans="1:33" s="975" customFormat="1" ht="13.5" customHeight="1">
      <c r="A21" s="961" t="s">
        <v>802</v>
      </c>
      <c r="B21" s="985" t="s">
        <v>2482</v>
      </c>
      <c r="C21" s="986">
        <f ca="1">C16+C17+C18</f>
        <v>30</v>
      </c>
      <c r="D21" s="987"/>
      <c r="E21" s="325"/>
      <c r="F21" s="325"/>
      <c r="G21" s="140" t="s">
        <v>2483</v>
      </c>
      <c r="H21" s="979"/>
      <c r="I21" s="979"/>
      <c r="J21" s="979"/>
      <c r="K21" s="980"/>
    </row>
    <row r="22" spans="1:33" s="975" customFormat="1" ht="13.5" customHeight="1">
      <c r="A22" s="961" t="s">
        <v>2455</v>
      </c>
      <c r="B22" s="985" t="s">
        <v>2484</v>
      </c>
      <c r="C22" s="986">
        <f ca="1">ROUND(C21*F22,0)</f>
        <v>1</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2</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3.8600000000000002E-2</v>
      </c>
      <c r="D24" s="325" t="s">
        <v>15</v>
      </c>
      <c r="E24" s="325"/>
      <c r="F24" s="988">
        <f>IF(项目基本情况!B8="出让",0,'数据-取费表'!B48+'数据-取费表'!B49)</f>
        <v>4.0500000000000001E-2</v>
      </c>
      <c r="G24" s="8" t="s">
        <v>2490</v>
      </c>
      <c r="H24" s="990"/>
      <c r="I24" s="990"/>
      <c r="J24" s="990"/>
      <c r="K24" s="991"/>
    </row>
    <row r="25" spans="1:33" s="975" customFormat="1" ht="13.5" customHeight="1">
      <c r="A25" s="961" t="s">
        <v>2491</v>
      </c>
      <c r="B25" s="987" t="s">
        <v>2492</v>
      </c>
      <c r="C25" s="1356">
        <f ca="1">C27</f>
        <v>1</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2495</v>
      </c>
      <c r="B28" s="2557" t="s">
        <v>2496</v>
      </c>
      <c r="C28" s="331">
        <f ca="1">C30</f>
        <v>7</v>
      </c>
      <c r="D28" s="324">
        <f ca="1">C29</f>
        <v>9.9699999999999997E-2</v>
      </c>
      <c r="E28" s="326" t="s">
        <v>15</v>
      </c>
      <c r="F28" s="332">
        <f ca="1">IF(C1="",'数据-取费表'!Q16,INDIRECT("'数据-取费表'!q"&amp;$K$1))</f>
        <v>0.2</v>
      </c>
      <c r="G28" s="989"/>
      <c r="H28" s="990"/>
      <c r="I28" s="990"/>
      <c r="J28" s="990"/>
      <c r="K28" s="991"/>
    </row>
    <row r="29" spans="1:33" s="335" customFormat="1" ht="13.5" customHeight="1">
      <c r="A29" s="971" t="s">
        <v>803</v>
      </c>
      <c r="B29" s="994" t="s">
        <v>2497</v>
      </c>
      <c r="C29" s="328">
        <f ca="1">ROUND((1+C24)*F28*'数据-取费表'!B24/'数据-取费表'!B20,4)</f>
        <v>9.9699999999999997E-2</v>
      </c>
      <c r="D29" s="328"/>
      <c r="E29" s="329"/>
      <c r="F29" s="334"/>
      <c r="G29" s="140" t="s">
        <v>2498</v>
      </c>
      <c r="H29" s="979"/>
      <c r="I29" s="979"/>
      <c r="J29" s="979"/>
      <c r="K29" s="980"/>
    </row>
    <row r="30" spans="1:33" s="335" customFormat="1" ht="13.5" customHeight="1">
      <c r="A30" s="971" t="s">
        <v>804</v>
      </c>
      <c r="B30" s="994" t="s">
        <v>2499</v>
      </c>
      <c r="C30" s="336">
        <f ca="1">ROUND((C21+C22+C23)*F28,0)</f>
        <v>7</v>
      </c>
      <c r="D30" s="328"/>
      <c r="E30" s="329"/>
      <c r="F30" s="334"/>
      <c r="G30" s="140"/>
      <c r="H30" s="979"/>
      <c r="I30" s="979"/>
      <c r="J30" s="979"/>
      <c r="K30" s="980"/>
    </row>
    <row r="31" spans="1:33" s="975" customFormat="1" ht="13.5" customHeight="1" thickBot="1">
      <c r="A31" s="2558" t="s">
        <v>2500</v>
      </c>
      <c r="B31" s="1005" t="s">
        <v>2501</v>
      </c>
      <c r="C31" s="1006">
        <f ca="1">ROUND(C4*F31/(1+'数据-取费表'!C42),0)</f>
        <v>84</v>
      </c>
      <c r="D31" s="1007"/>
      <c r="E31" s="1008"/>
      <c r="F31" s="1009">
        <f>'数据-取费表'!B41</f>
        <v>5.6000000000000001E-2</v>
      </c>
      <c r="G31" s="1010" t="s">
        <v>2502</v>
      </c>
      <c r="H31" s="1011"/>
      <c r="I31" s="1011"/>
      <c r="J31" s="1011"/>
      <c r="K31" s="1012"/>
    </row>
    <row r="32" spans="1:33" s="970" customFormat="1" ht="13.5" customHeight="1" thickBot="1">
      <c r="A32" s="1000" t="s">
        <v>2503</v>
      </c>
      <c r="B32" s="1001"/>
      <c r="C32" s="1002">
        <f ca="1">ROUND((C4-C21-C22-C23-C25-C28-C31)/(1+C24+D25+D28),0)</f>
        <v>1207</v>
      </c>
      <c r="D32" s="1001"/>
      <c r="E32" s="1001"/>
      <c r="F32" s="1001"/>
      <c r="G32" s="1003" t="s">
        <v>2504</v>
      </c>
      <c r="H32" s="1001"/>
      <c r="I32" s="1001"/>
      <c r="J32" s="1001"/>
      <c r="K32" s="1004"/>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13" sqref="K1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1373</v>
      </c>
      <c r="D1" s="1820" t="s">
        <v>3228</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1552</v>
      </c>
      <c r="C2" s="1845" t="s">
        <v>1511</v>
      </c>
      <c r="D2" s="1845"/>
      <c r="E2" s="1846"/>
      <c r="F2" s="1847"/>
      <c r="G2" s="1848"/>
      <c r="H2" s="1840"/>
      <c r="I2" s="1840"/>
      <c r="J2" s="1840"/>
      <c r="K2" s="1841"/>
      <c r="L2" s="1840"/>
      <c r="M2" s="1840"/>
    </row>
    <row r="3" spans="1:37" ht="18" customHeight="1" thickBot="1">
      <c r="A3" s="1849" t="s">
        <v>1512</v>
      </c>
      <c r="B3" s="1850">
        <f ca="1">IF(ISERROR(B2*10000/F43),0,ROUND(B2*10000/F43,0))</f>
        <v>13846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104</v>
      </c>
      <c r="D5" s="1822" t="s">
        <v>1397</v>
      </c>
      <c r="E5" s="1293"/>
      <c r="F5" s="1294"/>
      <c r="G5" s="1851"/>
      <c r="H5" s="344">
        <v>1</v>
      </c>
      <c r="I5" s="345" t="s">
        <v>1396</v>
      </c>
      <c r="J5" s="1292">
        <f ca="1">J6+J10+J12</f>
        <v>0</v>
      </c>
      <c r="K5" s="1822" t="s">
        <v>1397</v>
      </c>
      <c r="L5" s="1293"/>
      <c r="M5" s="1294"/>
    </row>
    <row r="6" spans="1:37" ht="18" customHeight="1">
      <c r="A6" s="1291" t="s">
        <v>1032</v>
      </c>
      <c r="B6" s="3423" t="s">
        <v>1398</v>
      </c>
      <c r="C6" s="1296">
        <f ca="1">ROUND(F6*F8*F7*(1-F9)/10000,0)</f>
        <v>104</v>
      </c>
      <c r="D6" s="164" t="s">
        <v>3016</v>
      </c>
      <c r="E6" s="347" t="s">
        <v>1400</v>
      </c>
      <c r="F6" s="348">
        <f ca="1">INDIRECT("'数据-取费表'!u"&amp;$G$1)</f>
        <v>3</v>
      </c>
      <c r="G6" s="1851"/>
      <c r="H6" s="1291" t="s">
        <v>1032</v>
      </c>
      <c r="I6" s="3423" t="s">
        <v>1398</v>
      </c>
      <c r="J6" s="346">
        <f ca="1">ROUND(M6*M8*M7*(1-M9)/10000,0)</f>
        <v>0</v>
      </c>
      <c r="K6" s="164" t="s">
        <v>3015</v>
      </c>
      <c r="L6" s="347" t="s">
        <v>1400</v>
      </c>
      <c r="M6" s="348">
        <f ca="1">INDIRECT("'数据-取费表'!z"&amp;$G$1)</f>
        <v>0</v>
      </c>
    </row>
    <row r="7" spans="1:37" ht="18" customHeight="1">
      <c r="A7" s="1295"/>
      <c r="B7" s="3424"/>
      <c r="C7" s="1297"/>
      <c r="D7" s="352"/>
      <c r="E7" s="1298" t="s">
        <v>1401</v>
      </c>
      <c r="F7" s="348">
        <f ca="1">IF(INDIRECT("'数据-取费表'!ah"&amp;$G$1)="",INDIRECT("'数据-取费表'!k"&amp;$G$1),INDIRECT("'数据-取费表'!ah"&amp;$G$1))</f>
        <v>1120.92</v>
      </c>
      <c r="G7" s="1851"/>
      <c r="H7" s="349"/>
      <c r="I7" s="3424"/>
      <c r="J7" s="351"/>
      <c r="K7" s="352"/>
      <c r="L7" s="347" t="s">
        <v>1401</v>
      </c>
      <c r="M7" s="348">
        <f ca="1">F7</f>
        <v>1120.92</v>
      </c>
    </row>
    <row r="8" spans="1:37" ht="18" customHeight="1">
      <c r="A8" s="349"/>
      <c r="B8" s="3424"/>
      <c r="C8" s="351"/>
      <c r="D8" s="352"/>
      <c r="E8" s="347" t="s">
        <v>1402</v>
      </c>
      <c r="F8" s="348">
        <f ca="1">INDIRECT("'数据-取费表'!ai"&amp;$G$1)</f>
        <v>365</v>
      </c>
      <c r="G8" s="1851"/>
      <c r="H8" s="349"/>
      <c r="I8" s="3424"/>
      <c r="J8" s="351"/>
      <c r="K8" s="352"/>
      <c r="L8" s="347" t="s">
        <v>1402</v>
      </c>
      <c r="M8" s="348">
        <f ca="1">INDIRECT("'数据-取费表'!ai"&amp;$G$1)</f>
        <v>365</v>
      </c>
    </row>
    <row r="9" spans="1:37" ht="18" customHeight="1">
      <c r="A9" s="349"/>
      <c r="B9" s="3425"/>
      <c r="C9" s="351"/>
      <c r="D9" s="352"/>
      <c r="E9" s="347" t="s">
        <v>1403</v>
      </c>
      <c r="F9" s="357">
        <f ca="1">INDIRECT("'数据-取费表'!w"&amp;$G$1)</f>
        <v>0.15</v>
      </c>
      <c r="G9" s="1851"/>
      <c r="H9" s="349"/>
      <c r="I9" s="342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3025</v>
      </c>
      <c r="E10" s="358" t="s">
        <v>1405</v>
      </c>
      <c r="F10" s="1366" t="s">
        <v>3229</v>
      </c>
      <c r="G10" s="1851"/>
      <c r="H10" s="1291" t="s">
        <v>1036</v>
      </c>
      <c r="I10" s="1823" t="s">
        <v>1404</v>
      </c>
      <c r="J10" s="346">
        <f ca="1">ROUND(IF(M10="押一",J6/12*M11,IF(M10="押二",J6/12*2*M11,IF(M10="押三",J6/12*3*M11,J11*M11))),0)</f>
        <v>0</v>
      </c>
      <c r="K10" s="1824" t="s">
        <v>3024</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336</v>
      </c>
      <c r="D14" s="1800" t="s">
        <v>1413</v>
      </c>
      <c r="E14" s="1794"/>
      <c r="F14" s="364"/>
      <c r="G14" s="1851"/>
      <c r="H14" s="1201" t="s">
        <v>1032</v>
      </c>
      <c r="I14" s="347" t="s">
        <v>1414</v>
      </c>
      <c r="J14" s="24">
        <f ca="1">C29</f>
        <v>533</v>
      </c>
      <c r="K14" s="15"/>
      <c r="L14" s="979"/>
      <c r="M14" s="980"/>
    </row>
    <row r="15" spans="1:37" s="1858" customFormat="1" ht="18" customHeight="1" thickBot="1">
      <c r="A15" s="1201" t="s">
        <v>1033</v>
      </c>
      <c r="B15" s="347" t="s">
        <v>1415</v>
      </c>
      <c r="C15" s="24">
        <f ca="1">ROUND(C14*F15,0)</f>
        <v>10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13</v>
      </c>
      <c r="K16" s="1337" t="s">
        <v>1420</v>
      </c>
      <c r="L16" s="1338"/>
      <c r="M16" s="1294"/>
    </row>
    <row r="17" spans="1:37" s="1858" customFormat="1" ht="18" customHeight="1">
      <c r="A17" s="1201" t="s">
        <v>1385</v>
      </c>
      <c r="B17" s="347" t="s">
        <v>1421</v>
      </c>
      <c r="C17" s="24">
        <f ca="1">ROUND(F17*(F43+INDIRECT("'数据-取费表'!S"&amp;$G$1))/10000,0)</f>
        <v>22</v>
      </c>
      <c r="D17" s="347" t="s">
        <v>1422</v>
      </c>
      <c r="E17" s="347" t="s">
        <v>1423</v>
      </c>
      <c r="F17" s="26">
        <f>'数据-取费表'!B35</f>
        <v>200</v>
      </c>
      <c r="G17" s="1854"/>
      <c r="H17" s="1201" t="s">
        <v>1032</v>
      </c>
      <c r="I17" s="347" t="s">
        <v>1424</v>
      </c>
      <c r="J17" s="24">
        <f ca="1">ROUND(IF(项目基本情况!B11="自然人",J6*M17/(1+'数据-取费表'!C42),J18+J19+J20),1)</f>
        <v>4.5999999999999996</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v>
      </c>
      <c r="D19" s="140" t="s">
        <v>1431</v>
      </c>
      <c r="E19" s="1818"/>
      <c r="F19" s="26"/>
      <c r="G19" s="1851"/>
      <c r="H19" s="1201" t="s">
        <v>1033</v>
      </c>
      <c r="I19" s="347" t="s">
        <v>1432</v>
      </c>
      <c r="J19" s="24">
        <f ca="1">IF(K19="按租金收入计税",ROUND(J6*M19/(1+'数据-取费表'!C42),2),ROUND(C29*M19*0.7,2))</f>
        <v>4.4800000000000004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v>
      </c>
      <c r="D20" s="369" t="s">
        <v>1435</v>
      </c>
      <c r="E20" s="347" t="s">
        <v>1417</v>
      </c>
      <c r="F20" s="367">
        <f>'数据-取费表'!B37</f>
        <v>0.03</v>
      </c>
      <c r="G20" s="1854"/>
      <c r="H20" s="1201" t="s">
        <v>1384</v>
      </c>
      <c r="I20" s="164" t="s">
        <v>1436</v>
      </c>
      <c r="J20" s="25">
        <f ca="1">ROUND(M20*M21/10000,2)</f>
        <v>0.13</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23</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-13</v>
      </c>
      <c r="K25" s="1345" t="s">
        <v>1459</v>
      </c>
      <c r="L25" s="1346"/>
      <c r="M25" s="1347"/>
    </row>
    <row r="26" spans="1:37">
      <c r="A26" s="1201" t="s">
        <v>1031</v>
      </c>
      <c r="B26" s="347" t="s">
        <v>1460</v>
      </c>
      <c r="C26" s="24">
        <f ca="1">ROUND((C19+C20)*F26,0)</f>
        <v>77</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17.600000000000001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5.55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11.89</v>
      </c>
      <c r="D33" s="1828" t="s">
        <v>3230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0.13</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ROUND(C29*F36,1)</f>
        <v>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2.1</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1552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13846</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8" thickBot="1">
      <c r="A46" s="1870" t="s">
        <v>1515</v>
      </c>
      <c r="C46" s="1871">
        <f ca="1">C68-C40</f>
        <v>-2407</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8" thickBot="1">
      <c r="A47" s="1165" t="s">
        <v>1391</v>
      </c>
      <c r="B47" s="1197" t="s">
        <v>1392</v>
      </c>
      <c r="C47" s="1367" t="s">
        <v>1393</v>
      </c>
      <c r="D47" s="1197" t="s">
        <v>1394</v>
      </c>
      <c r="E47" s="1279" t="s">
        <v>1395</v>
      </c>
      <c r="F47" s="1280"/>
      <c r="G47" s="792"/>
      <c r="I47" s="1880" t="s">
        <v>1521</v>
      </c>
      <c r="J47" s="1881" t="s">
        <v>3232</v>
      </c>
      <c r="K47" s="1882" t="s">
        <v>1522</v>
      </c>
      <c r="L47" s="1883">
        <f ca="1">INDIRECT("'数据-取费表'!d"&amp;$G$1)</f>
        <v>40</v>
      </c>
      <c r="M47" s="1838" t="str">
        <f>IF(ISNUMBER(FIND("住宅",C1)),"住宅","非住宅")</f>
        <v>非住宅</v>
      </c>
      <c r="O47" s="1884" t="s">
        <v>1037</v>
      </c>
      <c r="P47" s="1885" t="s">
        <v>1523</v>
      </c>
      <c r="Q47" s="1886">
        <f ca="1">C40+J29</f>
        <v>1552</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3231</v>
      </c>
      <c r="K48" s="1889" t="s">
        <v>1526</v>
      </c>
      <c r="L48" s="1890">
        <f ca="1">INDIRECT("'数据-取费表'!f"&amp;$G$1)</f>
        <v>39.369999999999997</v>
      </c>
      <c r="O48" s="1884" t="s">
        <v>1038</v>
      </c>
      <c r="P48" s="1885" t="s">
        <v>1527</v>
      </c>
      <c r="Q48" s="1886" t="str">
        <f ca="1">J60</f>
        <v>0</v>
      </c>
      <c r="R48" s="1886" t="s">
        <v>1528</v>
      </c>
    </row>
    <row r="49" spans="1:18" s="1842" customFormat="1" ht="13.8" thickBot="1">
      <c r="A49" s="1194" t="s">
        <v>1133</v>
      </c>
      <c r="B49" s="1829" t="s">
        <v>1485</v>
      </c>
      <c r="C49" s="1364">
        <f ca="1">ROUND(F49*F51*F50*(1-F52)/10000,0)</f>
        <v>0</v>
      </c>
      <c r="D49" s="1276" t="s">
        <v>3017</v>
      </c>
      <c r="E49" s="1830" t="s">
        <v>1486</v>
      </c>
      <c r="F49" s="1281"/>
      <c r="G49" s="1891"/>
      <c r="H49" s="793"/>
      <c r="I49" s="1887" t="s">
        <v>1529</v>
      </c>
      <c r="J49" s="1892">
        <v>2021</v>
      </c>
      <c r="K49" s="1889" t="s">
        <v>1530</v>
      </c>
      <c r="L49" s="1893"/>
      <c r="O49" s="1894" t="s">
        <v>1039</v>
      </c>
      <c r="P49" s="1885" t="s">
        <v>1531</v>
      </c>
      <c r="Q49" s="1886">
        <f ca="1">C29</f>
        <v>533</v>
      </c>
      <c r="R49" s="1886" t="s">
        <v>1524</v>
      </c>
    </row>
    <row r="50" spans="1:18" s="1842" customFormat="1" ht="13.8" thickBot="1">
      <c r="A50" s="1195"/>
      <c r="B50" s="1198"/>
      <c r="C50" s="1368"/>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8"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552</v>
      </c>
      <c r="M51" s="1902"/>
      <c r="O51" s="1894" t="s">
        <v>1041</v>
      </c>
      <c r="P51" s="1885" t="s">
        <v>1537</v>
      </c>
      <c r="Q51" s="1897">
        <f>J52</f>
        <v>0.09</v>
      </c>
      <c r="R51" s="1886"/>
    </row>
    <row r="52" spans="1:18" s="1842" customFormat="1" ht="13.8" thickBot="1">
      <c r="A52" s="1196"/>
      <c r="B52" s="1198"/>
      <c r="C52" s="1199"/>
      <c r="D52" s="1172"/>
      <c r="E52" s="1200" t="s">
        <v>1403</v>
      </c>
      <c r="F52" s="1275"/>
      <c r="I52" s="1903" t="s">
        <v>1538</v>
      </c>
      <c r="J52" s="1904">
        <v>0.09</v>
      </c>
      <c r="K52" s="1903" t="s">
        <v>1539</v>
      </c>
      <c r="L52" s="1904"/>
      <c r="O52" s="1894" t="s">
        <v>1042</v>
      </c>
      <c r="P52" s="1885" t="s">
        <v>1540</v>
      </c>
      <c r="Q52" s="1886">
        <f ca="1">J53</f>
        <v>38.169999999999995</v>
      </c>
      <c r="R52" s="1886" t="s">
        <v>1541</v>
      </c>
    </row>
    <row r="53" spans="1:18" s="1842" customFormat="1" ht="36.6" thickBot="1">
      <c r="A53" s="1405" t="s">
        <v>1134</v>
      </c>
      <c r="B53" s="1831" t="s">
        <v>1404</v>
      </c>
      <c r="C53" s="361">
        <f ca="1">ROUND(IF(F53="押一",C49/12*F11,IF(F53="押二",C49/12*2*F11,IF(F53="押三",C49/12*3*F11,C54*F11))),0)</f>
        <v>0</v>
      </c>
      <c r="D53" s="1824" t="s">
        <v>3024</v>
      </c>
      <c r="E53" s="358" t="s">
        <v>1405</v>
      </c>
      <c r="F53" s="1366"/>
      <c r="I53" s="1905" t="s">
        <v>1542</v>
      </c>
      <c r="J53" s="2945">
        <f ca="1">IF(M47="住宅",IF(D1="——",MAX(J51,L48),MAX(J51,L48-'数据-取费表'!B24)),IF(D1="——",MIN(J51,L48),MIN(J51,L48-'数据-取费表'!B24)))</f>
        <v>38.169999999999995</v>
      </c>
      <c r="K53" s="3421" t="s">
        <v>1543</v>
      </c>
      <c r="L53" s="3422"/>
      <c r="O53" s="1884" t="s">
        <v>1043</v>
      </c>
      <c r="P53" s="1885" t="s">
        <v>1544</v>
      </c>
      <c r="Q53" s="1886">
        <f ca="1">Q47+Q48</f>
        <v>1552</v>
      </c>
      <c r="R53" s="1886" t="s">
        <v>1044</v>
      </c>
    </row>
    <row r="54" spans="1:18" s="1842" customFormat="1" ht="24.6"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37.200000000000003" thickTop="1" thickBot="1">
      <c r="A56" s="1176">
        <v>2</v>
      </c>
      <c r="B56" s="1177" t="s">
        <v>1409</v>
      </c>
      <c r="C56" s="276">
        <f ca="1">C13</f>
        <v>533</v>
      </c>
      <c r="D56" s="1913"/>
      <c r="E56" s="1914"/>
      <c r="F56" s="1906"/>
      <c r="I56" s="1915" t="s">
        <v>1549</v>
      </c>
      <c r="J56" s="1916" t="s">
        <v>3048</v>
      </c>
      <c r="K56" s="1887" t="s">
        <v>1550</v>
      </c>
      <c r="L56" s="1890" t="str">
        <f ca="1">IF(L48&lt;J51,"——",L48-J53)</f>
        <v>——</v>
      </c>
      <c r="O56" s="1884" t="s">
        <v>1037</v>
      </c>
      <c r="P56" s="1885" t="s">
        <v>1523</v>
      </c>
      <c r="Q56" s="1886">
        <f ca="1">C40+J29</f>
        <v>1552</v>
      </c>
      <c r="R56" s="1886" t="s">
        <v>1524</v>
      </c>
    </row>
    <row r="57" spans="1:18" s="1842" customFormat="1" ht="24.6" thickBot="1">
      <c r="A57" s="1917"/>
      <c r="B57" s="1169" t="s">
        <v>1473</v>
      </c>
      <c r="C57" s="282">
        <f ca="1">C29</f>
        <v>533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6" thickBot="1">
      <c r="A58" s="360" t="s">
        <v>1027</v>
      </c>
      <c r="B58" s="1177" t="s">
        <v>1419</v>
      </c>
      <c r="C58" s="361">
        <f ca="1">ROUND(C59+C64+C65+C66,0)</f>
        <v>54</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ROUND(IF(项目基本情况!B11="自然人",C48*F59,C60+C61+C62),1)</f>
        <v>44.9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IF(项目基本情况!B11="自然人","——",IF(D61="按租金收入计税",ROUND(C48*F61,2),IF(D61="按房产原值计税",ROUND(C57*F61*0.7,2),INDIRECT("'数据-取费表'!Aj"&amp;$G$1))))</f>
        <v>44.77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IF(项目基本情况!B11="自然人","——",ROUND(F62*F63/10000,2))</f>
        <v>0.13</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1552</v>
      </c>
      <c r="R62" s="1886" t="s">
        <v>1044</v>
      </c>
    </row>
    <row r="63" spans="1:18" s="1842" customFormat="1" ht="13.8"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ROUND(C57*F64,1)</f>
        <v>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4" t="s">
        <v>1037</v>
      </c>
      <c r="P65" s="1885" t="s">
        <v>1575</v>
      </c>
      <c r="Q65" s="1886">
        <f ca="1">C40+J29</f>
        <v>1552</v>
      </c>
      <c r="R65" s="1886" t="s">
        <v>1524</v>
      </c>
    </row>
    <row r="66" spans="1:18" s="1842" customFormat="1" ht="16.2"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24.6" thickBot="1">
      <c r="A67" s="1176" t="s">
        <v>1028</v>
      </c>
      <c r="B67" s="1186" t="s">
        <v>1458</v>
      </c>
      <c r="C67" s="361">
        <f ca="1">C48-C58</f>
        <v>-54</v>
      </c>
      <c r="D67" s="1182" t="s">
        <v>1459</v>
      </c>
      <c r="E67" s="1187"/>
      <c r="F67" s="1188"/>
      <c r="O67" s="1894" t="s">
        <v>1039</v>
      </c>
      <c r="P67" s="1885" t="s">
        <v>1557</v>
      </c>
      <c r="Q67" s="1932">
        <f ca="1">L51</f>
        <v>552</v>
      </c>
      <c r="R67" s="1886" t="s">
        <v>1577</v>
      </c>
    </row>
    <row r="68" spans="1:18" s="1842" customFormat="1" ht="16.2" thickBot="1">
      <c r="A68" s="1166" t="s">
        <v>1029</v>
      </c>
      <c r="B68" s="1167" t="s">
        <v>1480</v>
      </c>
      <c r="C68" s="346">
        <f ca="1">ROUND(C67*(1-((1+F70)/(1+F68))^F69)/(F68-F70),0)</f>
        <v>-855</v>
      </c>
      <c r="D68" s="1184" t="s">
        <v>1464</v>
      </c>
      <c r="E68" s="1169" t="s">
        <v>1465</v>
      </c>
      <c r="F68" s="357">
        <f ca="1">F40</f>
        <v>5.5E-2</v>
      </c>
      <c r="O68" s="1894" t="s">
        <v>1040</v>
      </c>
      <c r="P68" s="1933" t="s">
        <v>1578</v>
      </c>
      <c r="Q68" s="1886">
        <f ca="1">ROUND(Q69-Q70*Q71,0)</f>
        <v>32</v>
      </c>
      <c r="R68" s="1886" t="s">
        <v>1048</v>
      </c>
    </row>
    <row r="69" spans="1:18" s="1842" customFormat="1" ht="13.8" thickBot="1">
      <c r="A69" s="1170"/>
      <c r="B69" s="1171"/>
      <c r="C69" s="351"/>
      <c r="D69" s="1189" t="s">
        <v>1468</v>
      </c>
      <c r="E69" s="1169" t="s">
        <v>1469</v>
      </c>
      <c r="F69" s="379">
        <f ca="1">F41</f>
        <v>38.169999999999995</v>
      </c>
      <c r="O69" s="1894" t="s">
        <v>1045</v>
      </c>
      <c r="P69" s="1933" t="s">
        <v>1579</v>
      </c>
      <c r="Q69" s="1886">
        <f ca="1">C39</f>
        <v>75</v>
      </c>
      <c r="R69" s="1886" t="s">
        <v>1524</v>
      </c>
    </row>
    <row r="70" spans="1:18" s="1842" customFormat="1" ht="13.8" thickBot="1">
      <c r="A70" s="1173"/>
      <c r="B70" s="1174"/>
      <c r="C70" s="355"/>
      <c r="D70" s="1185"/>
      <c r="E70" s="1169" t="s">
        <v>1472</v>
      </c>
      <c r="F70" s="1275"/>
      <c r="O70" s="1894" t="s">
        <v>1046</v>
      </c>
      <c r="P70" s="1933" t="s">
        <v>1580</v>
      </c>
      <c r="Q70" s="1886">
        <f ca="1">C13</f>
        <v>533</v>
      </c>
      <c r="R70" s="1886" t="s">
        <v>1524</v>
      </c>
    </row>
    <row r="71" spans="1:18" s="1842" customFormat="1" ht="13.8" thickBot="1">
      <c r="A71" s="1190" t="s">
        <v>1030</v>
      </c>
      <c r="B71" s="1191" t="s">
        <v>1482</v>
      </c>
      <c r="C71" s="382">
        <f ca="1">ROUND(C68*10000/F71,0)</f>
        <v>-7628</v>
      </c>
      <c r="D71" s="1192" t="s">
        <v>1483</v>
      </c>
      <c r="E71" s="1193" t="s">
        <v>1484</v>
      </c>
      <c r="F71" s="385">
        <f ca="1">F43</f>
        <v>1120.92</v>
      </c>
      <c r="O71" s="1894" t="s">
        <v>1047</v>
      </c>
      <c r="P71" s="1933" t="s">
        <v>1581</v>
      </c>
      <c r="Q71" s="1897">
        <f ca="1">C76</f>
        <v>0.08</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8" thickBot="1">
      <c r="A75" s="1842"/>
      <c r="B75" s="386" t="s">
        <v>1501</v>
      </c>
      <c r="C75" s="387">
        <f ca="1">ROUND(C13*C76,0)</f>
        <v>43</v>
      </c>
      <c r="D75" s="1842"/>
      <c r="E75" s="1842"/>
      <c r="F75" s="1842"/>
      <c r="K75" s="1868"/>
      <c r="L75" s="1842"/>
      <c r="O75" s="1884" t="s">
        <v>1043</v>
      </c>
      <c r="P75" s="1885" t="s">
        <v>1544</v>
      </c>
      <c r="Q75" s="1886">
        <f ca="1">Q65+Q66</f>
        <v>1552</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0.42700000000000005</v>
      </c>
    </row>
    <row r="80" spans="1:18">
      <c r="B80" s="386" t="s">
        <v>1506</v>
      </c>
      <c r="C80" s="318">
        <f ca="1">ROUND(C75/C39,3)</f>
        <v>0.57299999999999995</v>
      </c>
    </row>
    <row r="81" spans="2:3">
      <c r="B81" s="314" t="s">
        <v>1507</v>
      </c>
      <c r="C81" s="282"/>
    </row>
    <row r="82" spans="2:3">
      <c r="B82" s="317" t="s">
        <v>1508</v>
      </c>
      <c r="C82" s="319">
        <f ca="1">1-C83</f>
        <v>0.65700000000000003</v>
      </c>
    </row>
    <row r="83" spans="2:3">
      <c r="B83" s="317" t="s">
        <v>1509</v>
      </c>
      <c r="C83" s="318">
        <f ca="1">ROUND(C13/C40,3)</f>
        <v>0.34300000000000003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8" sqref="D2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1373</v>
      </c>
      <c r="D1" s="1820" t="s">
        <v>3228</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1571</v>
      </c>
      <c r="C2" s="1845" t="s">
        <v>1586</v>
      </c>
      <c r="D2" s="1937">
        <f ca="1">C40+J29+L46</f>
        <v>15712094</v>
      </c>
      <c r="E2" s="1846" t="s">
        <v>1587</v>
      </c>
      <c r="F2" s="1847"/>
      <c r="G2" s="1848"/>
      <c r="H2" s="1840"/>
      <c r="I2" s="1840"/>
      <c r="J2" s="1840"/>
      <c r="K2" s="1841"/>
      <c r="L2" s="1840"/>
      <c r="M2" s="1840"/>
    </row>
    <row r="3" spans="1:37" ht="18" customHeight="1" thickBot="1">
      <c r="A3" s="1849" t="s">
        <v>1588</v>
      </c>
      <c r="B3" s="1850">
        <f ca="1">IF(ISERROR(D2/F43),0,ROUND(D2/F43,0))</f>
        <v>14017</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1044600</v>
      </c>
      <c r="D5" s="1822" t="s">
        <v>1596</v>
      </c>
      <c r="E5" s="1293"/>
      <c r="F5" s="1294"/>
      <c r="G5" s="1851"/>
      <c r="H5" s="344">
        <v>1</v>
      </c>
      <c r="I5" s="345" t="s">
        <v>1595</v>
      </c>
      <c r="J5" s="1292">
        <f ca="1">J6+J10+J12</f>
        <v>0</v>
      </c>
      <c r="K5" s="1822" t="s">
        <v>1596</v>
      </c>
      <c r="L5" s="1293"/>
      <c r="M5" s="1294"/>
    </row>
    <row r="6" spans="1:37" ht="18" customHeight="1">
      <c r="A6" s="1291" t="s">
        <v>1032</v>
      </c>
      <c r="B6" s="3423" t="s">
        <v>1398</v>
      </c>
      <c r="C6" s="1296">
        <f ca="1">ROUND(F6*F8*F7*(1-F9),0)</f>
        <v>1043296</v>
      </c>
      <c r="D6" s="164" t="s">
        <v>3013</v>
      </c>
      <c r="E6" s="347" t="s">
        <v>1400</v>
      </c>
      <c r="F6" s="348">
        <f ca="1">INDIRECT("'数据-取费表'!u"&amp;$G$1)</f>
        <v>3</v>
      </c>
      <c r="G6" s="1851"/>
      <c r="H6" s="1291" t="s">
        <v>1032</v>
      </c>
      <c r="I6" s="3423" t="s">
        <v>1398</v>
      </c>
      <c r="J6" s="346">
        <f ca="1">ROUND(M6*M8*M7*(1-M9),0)</f>
        <v>0</v>
      </c>
      <c r="K6" s="1834" t="s">
        <v>3014</v>
      </c>
      <c r="L6" s="347" t="s">
        <v>1400</v>
      </c>
      <c r="M6" s="348">
        <f ca="1">INDIRECT("'数据-取费表'!z"&amp;$G$1)</f>
        <v>0</v>
      </c>
    </row>
    <row r="7" spans="1:37" ht="18" customHeight="1">
      <c r="A7" s="1295"/>
      <c r="B7" s="3424"/>
      <c r="C7" s="1297"/>
      <c r="D7" s="352"/>
      <c r="E7" s="1298" t="s">
        <v>1401</v>
      </c>
      <c r="F7" s="348">
        <f ca="1">IF(INDIRECT("'数据-取费表'!ah"&amp;$G$1)="",INDIRECT("'数据-取费表'!k"&amp;$G$1),INDIRECT("'数据-取费表'!ah"&amp;$G$1))</f>
        <v>1120.92</v>
      </c>
      <c r="G7" s="1851"/>
      <c r="H7" s="349"/>
      <c r="I7" s="3424"/>
      <c r="J7" s="351"/>
      <c r="K7" s="352"/>
      <c r="L7" s="347" t="s">
        <v>1401</v>
      </c>
      <c r="M7" s="348">
        <f ca="1">F7</f>
        <v>1120.92</v>
      </c>
    </row>
    <row r="8" spans="1:37" ht="18" customHeight="1">
      <c r="A8" s="349"/>
      <c r="B8" s="3424"/>
      <c r="C8" s="351"/>
      <c r="D8" s="352"/>
      <c r="E8" s="347" t="s">
        <v>1402</v>
      </c>
      <c r="F8" s="348">
        <f ca="1">INDIRECT("'数据-取费表'!ai"&amp;$G$1)</f>
        <v>365</v>
      </c>
      <c r="G8" s="1851"/>
      <c r="H8" s="349"/>
      <c r="I8" s="3424"/>
      <c r="J8" s="351"/>
      <c r="K8" s="352"/>
      <c r="L8" s="347" t="s">
        <v>1402</v>
      </c>
      <c r="M8" s="348">
        <f ca="1">INDIRECT("'数据-取费表'!ai"&amp;$G$1)</f>
        <v>365</v>
      </c>
    </row>
    <row r="9" spans="1:37" ht="18" customHeight="1">
      <c r="A9" s="349"/>
      <c r="B9" s="3425"/>
      <c r="C9" s="351"/>
      <c r="D9" s="352"/>
      <c r="E9" s="347" t="s">
        <v>1403</v>
      </c>
      <c r="F9" s="357">
        <f ca="1">INDIRECT("'数据-取费表'!w"&amp;$G$1)</f>
        <v>0.15</v>
      </c>
      <c r="G9" s="1851"/>
      <c r="H9" s="349"/>
      <c r="I9" s="3425"/>
      <c r="J9" s="351"/>
      <c r="K9" s="352"/>
      <c r="L9" s="358" t="s">
        <v>1403</v>
      </c>
      <c r="M9" s="359">
        <f ca="1">INDIRECT("'数据-取费表'!ab"&amp;$G$1)</f>
        <v>0</v>
      </c>
    </row>
    <row r="10" spans="1:37" ht="18" customHeight="1">
      <c r="A10" s="1291" t="s">
        <v>1036</v>
      </c>
      <c r="B10" s="1823" t="s">
        <v>1404</v>
      </c>
      <c r="C10" s="361">
        <f ca="1">ROUND(IF(F10="押一",C6/12*F11,IF(F10="押二",C6/12*2*F11,IF(F10="押三",C6/12*3*F11,C11*F11))),0)</f>
        <v>1304</v>
      </c>
      <c r="D10" s="1824" t="s">
        <v>3024</v>
      </c>
      <c r="E10" s="358" t="s">
        <v>1405</v>
      </c>
      <c r="F10" s="1366" t="s">
        <v>3229</v>
      </c>
      <c r="G10" s="1851"/>
      <c r="H10" s="1291" t="s">
        <v>1036</v>
      </c>
      <c r="I10" s="1823" t="s">
        <v>1404</v>
      </c>
      <c r="J10" s="346">
        <f ca="1">ROUND(IF(M10="押一",J6/12*M11,IF(M10="押二",J6/12*2*M11,IF(M10="押三",J6/12*3*M11,J11*M11))),0)</f>
        <v>0</v>
      </c>
      <c r="K10" s="1835" t="s">
        <v>3026</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5336626</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3362760</v>
      </c>
      <c r="D14" s="1800" t="s">
        <v>1413</v>
      </c>
      <c r="E14" s="1794"/>
      <c r="F14" s="364"/>
      <c r="G14" s="1851"/>
      <c r="H14" s="1201" t="s">
        <v>1032</v>
      </c>
      <c r="I14" s="347" t="s">
        <v>1414</v>
      </c>
      <c r="J14" s="24">
        <f ca="1">C29</f>
        <v>5336626</v>
      </c>
      <c r="K14" s="15"/>
      <c r="L14" s="979"/>
      <c r="M14" s="980"/>
    </row>
    <row r="15" spans="1:37" s="1858" customFormat="1" ht="18" customHeight="1" thickBot="1">
      <c r="A15" s="1201" t="s">
        <v>1033</v>
      </c>
      <c r="B15" s="347" t="s">
        <v>1415</v>
      </c>
      <c r="C15" s="24">
        <f ca="1">ROUND(C14*F15,0)</f>
        <v>100883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126217</v>
      </c>
      <c r="K16" s="1337" t="s">
        <v>1420</v>
      </c>
      <c r="L16" s="1338"/>
      <c r="M16" s="1294"/>
    </row>
    <row r="17" spans="1:37" s="1858" customFormat="1" ht="18" customHeight="1">
      <c r="A17" s="1201" t="s">
        <v>1385</v>
      </c>
      <c r="B17" s="347" t="s">
        <v>1421</v>
      </c>
      <c r="C17" s="24">
        <f ca="1">ROUND(F17*(F43+INDIRECT("'数据-取费表'!S"&amp;$G$1)),0)</f>
        <v>224184</v>
      </c>
      <c r="D17" s="347" t="s">
        <v>1422</v>
      </c>
      <c r="E17" s="347" t="s">
        <v>1423</v>
      </c>
      <c r="F17" s="26">
        <f>'数据-取费表'!B35</f>
        <v>200</v>
      </c>
      <c r="G17" s="1854"/>
      <c r="H17" s="1201" t="s">
        <v>1032</v>
      </c>
      <c r="I17" s="347" t="s">
        <v>1424</v>
      </c>
      <c r="J17" s="24">
        <f ca="1">ROUND(IF(项目基本情况!B11="自然人",J6*M17/(1+'数据-取费表'!C42),J18+J19+J20),0)</f>
        <v>46168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50441</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3738268</v>
      </c>
      <c r="D19" s="140" t="s">
        <v>1431</v>
      </c>
      <c r="E19" s="1818"/>
      <c r="F19" s="26"/>
      <c r="G19" s="1851"/>
      <c r="H19" s="1201" t="s">
        <v>1033</v>
      </c>
      <c r="I19" s="347" t="s">
        <v>1432</v>
      </c>
      <c r="J19" s="24">
        <f ca="1">IF(K19="按租金收入计税",ROUND(J6*M19/(1+'数据-取费表'!C42),0),ROUND(C29*M19*0.7,0))</f>
        <v>44828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112148</v>
      </c>
      <c r="D20" s="369" t="s">
        <v>1435</v>
      </c>
      <c r="E20" s="347" t="s">
        <v>1417</v>
      </c>
      <c r="F20" s="367">
        <f>'数据-取费表'!B37</f>
        <v>0.03</v>
      </c>
      <c r="G20" s="1854"/>
      <c r="H20" s="1201" t="s">
        <v>1384</v>
      </c>
      <c r="I20" s="164" t="s">
        <v>1436</v>
      </c>
      <c r="J20" s="25">
        <f ca="1">ROUND(M20*M21,0)</f>
        <v>1340</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80049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229960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-126217</v>
      </c>
      <c r="K25" s="1345" t="s">
        <v>1459</v>
      </c>
      <c r="L25" s="1346"/>
      <c r="M25" s="1347"/>
    </row>
    <row r="26" spans="1:37" ht="18" customHeight="1">
      <c r="A26" s="1201" t="s">
        <v>1031</v>
      </c>
      <c r="B26" s="347" t="s">
        <v>1460</v>
      </c>
      <c r="C26" s="24">
        <f ca="1">ROUND((C19+C20)*F26,0)</f>
        <v>770083</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5336626</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285162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176216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55642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119234</v>
      </c>
      <c r="D33" s="1828" t="s">
        <v>3230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1340</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ROUND(C29*F36,0)</f>
        <v>80049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8005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20892</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759438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15712094</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14017</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-26836027</v>
      </c>
      <c r="D45" s="1939" t="s">
        <v>1599</v>
      </c>
      <c r="E45" s="1866"/>
      <c r="F45" s="1866"/>
      <c r="O45" s="1869" t="s">
        <v>1514</v>
      </c>
      <c r="P45" s="1839"/>
      <c r="Q45" s="1839"/>
      <c r="R45" s="1839"/>
    </row>
    <row r="46" spans="1:18" s="1842" customFormat="1" ht="13.8" thickBot="1">
      <c r="A46" s="1870" t="s">
        <v>1515</v>
      </c>
      <c r="C46" s="1871">
        <f ca="1">ROUND(C45/10000,0)</f>
        <v>-2684</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t="s">
        <v>3232</v>
      </c>
      <c r="K47" s="1882" t="s">
        <v>1522</v>
      </c>
      <c r="L47" s="1883">
        <f ca="1">INDIRECT("'数据-取费表'!d"&amp;$G$1)</f>
        <v>40</v>
      </c>
      <c r="M47" s="1838" t="str">
        <f>IF(ISNUMBER(FIND("住宅",C1)),"住宅","非住宅")</f>
        <v>非住宅</v>
      </c>
      <c r="O47" s="1884" t="s">
        <v>1037</v>
      </c>
      <c r="P47" s="1885" t="s">
        <v>1523</v>
      </c>
      <c r="Q47" s="1886">
        <f ca="1">C40+J29</f>
        <v>15712094</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3231</v>
      </c>
      <c r="K48" s="1889" t="s">
        <v>1526</v>
      </c>
      <c r="L48" s="1890">
        <f ca="1">INDIRECT("'数据-取费表'!f"&amp;$G$1)</f>
        <v>39.369999999999997</v>
      </c>
      <c r="O48" s="1884" t="s">
        <v>1038</v>
      </c>
      <c r="P48" s="1885" t="s">
        <v>1527</v>
      </c>
      <c r="Q48" s="1886" t="str">
        <f ca="1">J60</f>
        <v>0</v>
      </c>
      <c r="R48" s="1886" t="s">
        <v>1528</v>
      </c>
    </row>
    <row r="49" spans="1:18" s="1842" customFormat="1" ht="13.8" thickBot="1">
      <c r="A49" s="1194" t="s">
        <v>1133</v>
      </c>
      <c r="B49" s="1829" t="s">
        <v>1485</v>
      </c>
      <c r="C49" s="1364">
        <f ca="1">ROUND(F49*F51*F50*(1-F52),0)</f>
        <v>0</v>
      </c>
      <c r="D49" s="1276" t="s">
        <v>1399</v>
      </c>
      <c r="E49" s="1830" t="s">
        <v>1486</v>
      </c>
      <c r="F49" s="1281"/>
      <c r="G49" s="1891"/>
      <c r="H49" s="793"/>
      <c r="I49" s="1887" t="s">
        <v>1529</v>
      </c>
      <c r="J49" s="1892">
        <v>2021</v>
      </c>
      <c r="K49" s="1889" t="s">
        <v>1530</v>
      </c>
      <c r="L49" s="1893"/>
      <c r="O49" s="1894" t="s">
        <v>1039</v>
      </c>
      <c r="P49" s="1885" t="s">
        <v>1531</v>
      </c>
      <c r="Q49" s="1886">
        <f ca="1">C29</f>
        <v>5336626</v>
      </c>
      <c r="R49" s="1886" t="s">
        <v>1524</v>
      </c>
    </row>
    <row r="50" spans="1:18" s="1842" customFormat="1" ht="13.8" thickBot="1">
      <c r="A50" s="1195"/>
      <c r="B50" s="1198"/>
      <c r="C50" s="1199"/>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8"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5676046</v>
      </c>
      <c r="M51" s="1902"/>
      <c r="O51" s="1894" t="s">
        <v>1041</v>
      </c>
      <c r="P51" s="1885" t="s">
        <v>1537</v>
      </c>
      <c r="Q51" s="1897">
        <f>J52</f>
        <v>8.5000000000000006E-2</v>
      </c>
      <c r="R51" s="1886"/>
    </row>
    <row r="52" spans="1:18" s="1842" customFormat="1" ht="13.8" thickBot="1">
      <c r="A52" s="1196"/>
      <c r="B52" s="1198"/>
      <c r="C52" s="1199"/>
      <c r="D52" s="1172"/>
      <c r="E52" s="1200" t="s">
        <v>1403</v>
      </c>
      <c r="F52" s="1275"/>
      <c r="I52" s="1903" t="s">
        <v>1538</v>
      </c>
      <c r="J52" s="1904">
        <v>8.5000000000000006E-2</v>
      </c>
      <c r="K52" s="1903" t="s">
        <v>1539</v>
      </c>
      <c r="L52" s="1904"/>
      <c r="O52" s="1894" t="s">
        <v>1042</v>
      </c>
      <c r="P52" s="1885" t="s">
        <v>1540</v>
      </c>
      <c r="Q52" s="1886">
        <f ca="1">J53</f>
        <v>38.169999999999995</v>
      </c>
      <c r="R52" s="1886" t="s">
        <v>1541</v>
      </c>
    </row>
    <row r="53" spans="1:18" s="1842" customFormat="1" ht="30.75" customHeight="1" thickBot="1">
      <c r="A53" s="1361" t="s">
        <v>1134</v>
      </c>
      <c r="B53" s="369" t="s">
        <v>1404</v>
      </c>
      <c r="C53" s="361">
        <f ca="1">ROUND(IF(F53="押一",C49/12*F11,IF(F53="押二",C49/12*2*F11,IF(F53="押三",C49/12*3*F11,C54*F11))),0)</f>
        <v>0</v>
      </c>
      <c r="D53" s="1824" t="s">
        <v>3027</v>
      </c>
      <c r="E53" s="358" t="s">
        <v>1405</v>
      </c>
      <c r="F53" s="1366"/>
      <c r="I53" s="1905" t="s">
        <v>1542</v>
      </c>
      <c r="J53" s="2945">
        <f ca="1">IF(M47="住宅",IF(D1="——",MAX(J51,L48),MAX(J51,L48-'数据-取费表'!B24)),IF(D1="——",MIN(J51,L48),MIN(J51,L48-'数据-取费表'!B24)))</f>
        <v>38.169999999999995</v>
      </c>
      <c r="K53" s="3421" t="s">
        <v>1543</v>
      </c>
      <c r="L53" s="3422"/>
      <c r="O53" s="1884" t="s">
        <v>1043</v>
      </c>
      <c r="P53" s="1885" t="s">
        <v>1544</v>
      </c>
      <c r="Q53" s="1886">
        <f ca="1">Q47+Q48</f>
        <v>15712094</v>
      </c>
      <c r="R53" s="1886" t="s">
        <v>1044</v>
      </c>
    </row>
    <row r="54" spans="1:18" s="1842" customFormat="1" ht="13.8"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5336626</v>
      </c>
      <c r="D56" s="1913"/>
      <c r="E56" s="1914"/>
      <c r="F56" s="1906"/>
      <c r="I56" s="1915" t="s">
        <v>1549</v>
      </c>
      <c r="J56" s="1916" t="s">
        <v>3048</v>
      </c>
      <c r="K56" s="1887" t="s">
        <v>1550</v>
      </c>
      <c r="L56" s="1890" t="str">
        <f ca="1">IF(L48&lt;J51,"——",L48-J51)</f>
        <v>——</v>
      </c>
      <c r="O56" s="1884" t="s">
        <v>1037</v>
      </c>
      <c r="P56" s="1885" t="s">
        <v>1523</v>
      </c>
      <c r="Q56" s="1886">
        <f ca="1">C40+J29</f>
        <v>15712094</v>
      </c>
      <c r="R56" s="1886" t="s">
        <v>1524</v>
      </c>
    </row>
    <row r="57" spans="1:18" s="1842" customFormat="1" ht="24.6" thickBot="1">
      <c r="A57" s="1917"/>
      <c r="B57" s="1169" t="s">
        <v>1473</v>
      </c>
      <c r="C57" s="282">
        <f ca="1">C29</f>
        <v>5336626</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6" thickBot="1">
      <c r="A58" s="360" t="s">
        <v>1027</v>
      </c>
      <c r="B58" s="1177" t="s">
        <v>1419</v>
      </c>
      <c r="C58" s="361">
        <f ca="1">ROUND(C59+C64+C65+C66,0)</f>
        <v>537671</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ROUND(IF(项目基本情况!B11="自然人",C48*F59,C60+C61+C62),0)</f>
        <v>449617</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IF(项目基本情况!B11="自然人","——",IF(D61="按租金收入计税",ROUND(C48*F61,0),IF(D61="按房产原值计税",ROUND(C57*F61*0.7,0),INDIRECT("'数据-取费表'!Aj"&amp;$G$1))))</f>
        <v>448277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IF(项目基本情况!B11="自然人","——",ROUND(F62*F63,0))</f>
        <v>1340</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15712094</v>
      </c>
      <c r="R62" s="1886" t="s">
        <v>1044</v>
      </c>
    </row>
    <row r="63" spans="1:18" s="1842" customFormat="1" ht="13.8"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ROUND(C57*F64,0)</f>
        <v>80049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ROUND(C56*F65,0)</f>
        <v>8005</v>
      </c>
      <c r="D65" s="1183" t="s">
        <v>1449</v>
      </c>
      <c r="E65" s="1169" t="s">
        <v>1450</v>
      </c>
      <c r="F65" s="376">
        <f t="shared" ca="1" si="0"/>
        <v>1.5E-3</v>
      </c>
      <c r="I65" s="1928" t="s">
        <v>1574</v>
      </c>
      <c r="J65" s="1929">
        <v>40</v>
      </c>
      <c r="K65" s="1929">
        <v>30</v>
      </c>
      <c r="L65" s="1929">
        <v>50</v>
      </c>
      <c r="M65" s="1931">
        <v>0.02</v>
      </c>
      <c r="O65" s="1884" t="s">
        <v>1037</v>
      </c>
      <c r="P65" s="1885" t="s">
        <v>1575</v>
      </c>
      <c r="Q65" s="1886">
        <f ca="1">C40+J29</f>
        <v>15712094</v>
      </c>
      <c r="R65" s="1886" t="s">
        <v>1524</v>
      </c>
    </row>
    <row r="66" spans="1:18" s="1842" customFormat="1" ht="16.2"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24.6" thickBot="1">
      <c r="A67" s="1176" t="s">
        <v>1028</v>
      </c>
      <c r="B67" s="1186" t="s">
        <v>1458</v>
      </c>
      <c r="C67" s="361">
        <f ca="1">C48-C58</f>
        <v>-537671</v>
      </c>
      <c r="D67" s="1182" t="s">
        <v>1459</v>
      </c>
      <c r="E67" s="1187"/>
      <c r="F67" s="1188"/>
      <c r="O67" s="1894" t="s">
        <v>1039</v>
      </c>
      <c r="P67" s="1885" t="s">
        <v>1557</v>
      </c>
      <c r="Q67" s="1932">
        <f ca="1">L51</f>
        <v>5676046</v>
      </c>
      <c r="R67" s="1886" t="s">
        <v>1577</v>
      </c>
    </row>
    <row r="68" spans="1:18" s="1842" customFormat="1" ht="16.2" thickBot="1">
      <c r="A68" s="1166" t="s">
        <v>1029</v>
      </c>
      <c r="B68" s="1167" t="s">
        <v>1480</v>
      </c>
      <c r="C68" s="346">
        <f ca="1">ROUND(C67*(1-((1+F70)/(1+F68))^F69)/(F68-F70),0)</f>
        <v>-11123933</v>
      </c>
      <c r="D68" s="1184" t="s">
        <v>1464</v>
      </c>
      <c r="E68" s="1169" t="s">
        <v>1465</v>
      </c>
      <c r="F68" s="357">
        <f ca="1">F40</f>
        <v>5.5E-2</v>
      </c>
      <c r="O68" s="1894" t="s">
        <v>1040</v>
      </c>
      <c r="P68" s="1933" t="s">
        <v>1578</v>
      </c>
      <c r="Q68" s="1886">
        <f ca="1">ROUND(Q69-Q70*Q71,0)</f>
        <v>332508</v>
      </c>
      <c r="R68" s="1886" t="s">
        <v>1048</v>
      </c>
    </row>
    <row r="69" spans="1:18" s="1842" customFormat="1" ht="13.8" thickBot="1">
      <c r="A69" s="1170"/>
      <c r="B69" s="1171"/>
      <c r="C69" s="351"/>
      <c r="D69" s="1189" t="s">
        <v>1468</v>
      </c>
      <c r="E69" s="1169" t="s">
        <v>1469</v>
      </c>
      <c r="F69" s="379">
        <f ca="1">F41</f>
        <v>38.169999999999995</v>
      </c>
      <c r="O69" s="1894" t="s">
        <v>1045</v>
      </c>
      <c r="P69" s="1933" t="s">
        <v>1579</v>
      </c>
      <c r="Q69" s="1886">
        <f ca="1">C39</f>
        <v>759438</v>
      </c>
      <c r="R69" s="1886" t="s">
        <v>1524</v>
      </c>
    </row>
    <row r="70" spans="1:18" s="1842" customFormat="1" ht="13.8" thickBot="1">
      <c r="A70" s="1173"/>
      <c r="B70" s="1174"/>
      <c r="C70" s="355"/>
      <c r="D70" s="1185"/>
      <c r="E70" s="1169" t="s">
        <v>1472</v>
      </c>
      <c r="F70" s="1275">
        <f ca="1">F42</f>
        <v>0.02</v>
      </c>
      <c r="O70" s="1894" t="s">
        <v>1046</v>
      </c>
      <c r="P70" s="1933" t="s">
        <v>1580</v>
      </c>
      <c r="Q70" s="1886">
        <f ca="1">C13</f>
        <v>5336626</v>
      </c>
      <c r="R70" s="1886" t="s">
        <v>1524</v>
      </c>
    </row>
    <row r="71" spans="1:18" s="1842" customFormat="1" ht="13.8" thickBot="1">
      <c r="A71" s="1190" t="s">
        <v>1030</v>
      </c>
      <c r="B71" s="1191" t="s">
        <v>1482</v>
      </c>
      <c r="C71" s="382">
        <f ca="1">ROUND(C68/F71,0)</f>
        <v>-9924</v>
      </c>
      <c r="D71" s="1192" t="s">
        <v>1483</v>
      </c>
      <c r="E71" s="1193" t="s">
        <v>1484</v>
      </c>
      <c r="F71" s="385">
        <f ca="1">F43</f>
        <v>1120.92</v>
      </c>
      <c r="O71" s="1894" t="s">
        <v>1047</v>
      </c>
      <c r="P71" s="1933" t="s">
        <v>1581</v>
      </c>
      <c r="Q71" s="1897">
        <f ca="1">C76</f>
        <v>0.08</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8" thickBot="1">
      <c r="A75" s="1842"/>
      <c r="B75" s="386" t="s">
        <v>1501</v>
      </c>
      <c r="C75" s="387">
        <f ca="1">ROUND(C13*C76,0)</f>
        <v>426930</v>
      </c>
      <c r="D75" s="1842"/>
      <c r="E75" s="1842"/>
      <c r="F75" s="1842"/>
      <c r="K75" s="1868"/>
      <c r="L75" s="1842"/>
      <c r="O75" s="1884" t="s">
        <v>1043</v>
      </c>
      <c r="P75" s="1885" t="s">
        <v>1544</v>
      </c>
      <c r="Q75" s="1886">
        <f ca="1">Q65+Q66</f>
        <v>15712094</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0.43799999999999994</v>
      </c>
    </row>
    <row r="80" spans="1:18">
      <c r="B80" s="386" t="s">
        <v>1506</v>
      </c>
      <c r="C80" s="318">
        <f ca="1">ROUND(C75/C39,3)</f>
        <v>0.56200000000000006</v>
      </c>
    </row>
    <row r="81" spans="2:3">
      <c r="B81" s="314" t="s">
        <v>1507</v>
      </c>
      <c r="C81" s="282"/>
    </row>
    <row r="82" spans="2:3">
      <c r="B82" s="317" t="s">
        <v>1508</v>
      </c>
      <c r="C82" s="319">
        <f ca="1">1-C83</f>
        <v>0.65999999999999992</v>
      </c>
    </row>
    <row r="83" spans="2:3">
      <c r="B83" s="317" t="s">
        <v>1509</v>
      </c>
      <c r="C83" s="318">
        <f ca="1">ROUND(C13/C40,3)</f>
        <v>0.34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G21" sqref="G21"/>
    </sheetView>
  </sheetViews>
  <sheetFormatPr defaultRowHeight="14.4"/>
  <cols>
    <col min="1" max="2" width="6" bestFit="1" customWidth="1"/>
    <col min="3" max="3" width="22" bestFit="1" customWidth="1"/>
    <col min="4" max="4" width="10.21875" bestFit="1" customWidth="1"/>
    <col min="5" max="5" width="17.21875" bestFit="1" customWidth="1"/>
    <col min="6" max="7" width="11" bestFit="1" customWidth="1"/>
    <col min="8" max="8" width="19.21875" bestFit="1" customWidth="1"/>
    <col min="9" max="9" width="5.44140625" bestFit="1" customWidth="1"/>
    <col min="10" max="10" width="4.44140625" bestFit="1" customWidth="1"/>
    <col min="11" max="11" width="6.44140625" bestFit="1" customWidth="1"/>
    <col min="12" max="12" width="13" bestFit="1" customWidth="1"/>
  </cols>
  <sheetData>
    <row r="1" spans="1:13">
      <c r="A1" s="3309" t="s">
        <v>3049</v>
      </c>
      <c r="B1" s="3309"/>
      <c r="C1" s="3309"/>
      <c r="D1" s="3309"/>
      <c r="E1" s="3309"/>
      <c r="F1" s="3309"/>
      <c r="G1" s="3309"/>
    </row>
    <row r="2" spans="1:13" ht="21.9" customHeight="1">
      <c r="A2" s="3310" t="s">
        <v>3050</v>
      </c>
      <c r="B2" s="3310"/>
      <c r="C2" s="3310"/>
      <c r="D2" s="2948"/>
      <c r="E2" s="2949"/>
      <c r="F2" s="2949"/>
      <c r="G2" s="2949"/>
    </row>
    <row r="3" spans="1:13" ht="15.6">
      <c r="A3" s="2950" t="s">
        <v>3051</v>
      </c>
      <c r="B3" s="2950" t="s">
        <v>3052</v>
      </c>
      <c r="C3" s="2950" t="s">
        <v>3053</v>
      </c>
      <c r="D3" s="2950" t="s">
        <v>3054</v>
      </c>
      <c r="E3" s="2951" t="s">
        <v>3055</v>
      </c>
      <c r="F3" s="2951" t="s">
        <v>3056</v>
      </c>
      <c r="G3" s="2951" t="s">
        <v>3057</v>
      </c>
      <c r="H3" s="2952" t="s">
        <v>3058</v>
      </c>
      <c r="L3" s="2957" t="s">
        <v>3075</v>
      </c>
      <c r="M3" s="2957" t="s">
        <v>3076</v>
      </c>
    </row>
    <row r="4" spans="1:13">
      <c r="A4" s="2951" t="s">
        <v>3059</v>
      </c>
      <c r="B4" s="2953" t="s">
        <v>3060</v>
      </c>
      <c r="C4" s="2952">
        <v>14171.97</v>
      </c>
      <c r="D4" s="2951">
        <v>508.63</v>
      </c>
      <c r="E4" s="2951">
        <v>486.06</v>
      </c>
      <c r="F4" s="2951">
        <v>10</v>
      </c>
      <c r="G4" s="2951">
        <f>D4+E4*(F4-1)</f>
        <v>4883.17</v>
      </c>
      <c r="H4" s="2952"/>
      <c r="I4">
        <f>ROUND(G4/C4,2)</f>
        <v>0.34</v>
      </c>
      <c r="J4" s="2956">
        <v>0.3</v>
      </c>
      <c r="K4">
        <f>I4*J4</f>
        <v>0.10200000000000001</v>
      </c>
      <c r="L4">
        <f>K4+0.2</f>
        <v>0.30200000000000005</v>
      </c>
      <c r="M4">
        <f>ROUND(C4/$C$9,3)</f>
        <v>0.21</v>
      </c>
    </row>
    <row r="5" spans="1:13">
      <c r="A5" s="2951" t="s">
        <v>3061</v>
      </c>
      <c r="B5" s="2953" t="s">
        <v>3062</v>
      </c>
      <c r="C5" s="2952">
        <v>9838.68</v>
      </c>
      <c r="D5" s="2951">
        <v>783.76</v>
      </c>
      <c r="E5" s="2951">
        <v>426.43</v>
      </c>
      <c r="F5" s="2951">
        <v>12</v>
      </c>
      <c r="G5" s="2951">
        <f>D5+E5*(F5-1)</f>
        <v>5474.4900000000007</v>
      </c>
      <c r="H5" s="2952" t="s">
        <v>3063</v>
      </c>
      <c r="I5">
        <f t="shared" ref="I5:I8" si="0">ROUND(G5/C5,2)</f>
        <v>0.56000000000000005</v>
      </c>
      <c r="J5" s="2956">
        <f>J4</f>
        <v>0.3</v>
      </c>
      <c r="K5">
        <f t="shared" ref="K5:K8" si="1">I5*J5</f>
        <v>0.16800000000000001</v>
      </c>
      <c r="L5">
        <f t="shared" ref="L5:L8" si="2">K5+0.2</f>
        <v>0.36799999999999999</v>
      </c>
      <c r="M5">
        <f t="shared" ref="M5:M8" si="3">ROUND(C5/$C$9,3)</f>
        <v>0.14599999999999999</v>
      </c>
    </row>
    <row r="6" spans="1:13">
      <c r="A6" s="2951" t="s">
        <v>3064</v>
      </c>
      <c r="B6" s="2953" t="s">
        <v>3065</v>
      </c>
      <c r="C6" s="2952">
        <v>15439.55</v>
      </c>
      <c r="D6" s="2951">
        <v>464.99</v>
      </c>
      <c r="E6" s="2951">
        <v>452.16</v>
      </c>
      <c r="F6" s="2951">
        <v>13</v>
      </c>
      <c r="G6" s="2951">
        <f>D6+E6*(F6-1)</f>
        <v>5890.91</v>
      </c>
      <c r="H6" s="2952"/>
      <c r="I6">
        <f t="shared" si="0"/>
        <v>0.38</v>
      </c>
      <c r="J6" s="2956">
        <f>J5</f>
        <v>0.3</v>
      </c>
      <c r="K6">
        <f t="shared" si="1"/>
        <v>0.11399999999999999</v>
      </c>
      <c r="L6">
        <f t="shared" si="2"/>
        <v>0.314</v>
      </c>
      <c r="M6">
        <f t="shared" si="3"/>
        <v>0.22800000000000001</v>
      </c>
    </row>
    <row r="7" spans="1:13">
      <c r="A7" s="2951" t="s">
        <v>3066</v>
      </c>
      <c r="B7" s="2953" t="s">
        <v>3065</v>
      </c>
      <c r="C7" s="2952">
        <v>15442.1</v>
      </c>
      <c r="D7" s="2951">
        <v>470.8</v>
      </c>
      <c r="E7" s="2951">
        <v>452.16</v>
      </c>
      <c r="F7" s="2951">
        <v>17</v>
      </c>
      <c r="G7" s="2951">
        <f>D7+E7*(F7-1)</f>
        <v>7705.3600000000006</v>
      </c>
      <c r="H7" s="2952"/>
      <c r="I7">
        <f t="shared" si="0"/>
        <v>0.5</v>
      </c>
      <c r="J7" s="2956">
        <f t="shared" ref="J7:J8" si="4">J6</f>
        <v>0.3</v>
      </c>
      <c r="K7">
        <f t="shared" si="1"/>
        <v>0.15</v>
      </c>
      <c r="L7">
        <f t="shared" si="2"/>
        <v>0.35</v>
      </c>
      <c r="M7">
        <f t="shared" si="3"/>
        <v>0.22800000000000001</v>
      </c>
    </row>
    <row r="8" spans="1:13">
      <c r="A8" s="2951" t="s">
        <v>3067</v>
      </c>
      <c r="B8" s="2953" t="s">
        <v>3068</v>
      </c>
      <c r="C8" s="2952">
        <v>12713.79</v>
      </c>
      <c r="D8" s="2951">
        <v>508.63</v>
      </c>
      <c r="E8" s="2951">
        <v>486.06</v>
      </c>
      <c r="F8" s="2951">
        <v>21</v>
      </c>
      <c r="G8" s="2951">
        <f>D8+E8*(F8-1)</f>
        <v>10229.83</v>
      </c>
      <c r="H8" s="2952"/>
      <c r="I8">
        <f t="shared" si="0"/>
        <v>0.8</v>
      </c>
      <c r="J8" s="2956">
        <f t="shared" si="4"/>
        <v>0.3</v>
      </c>
      <c r="K8">
        <f t="shared" si="1"/>
        <v>0.24</v>
      </c>
      <c r="L8">
        <f t="shared" si="2"/>
        <v>0.44</v>
      </c>
      <c r="M8">
        <f t="shared" si="3"/>
        <v>0.188</v>
      </c>
    </row>
    <row r="9" spans="1:13" ht="15.6">
      <c r="A9" s="2949"/>
      <c r="B9" s="2954"/>
      <c r="C9">
        <f>SUM(C4:C8)</f>
        <v>67606.09</v>
      </c>
      <c r="D9" s="2949"/>
      <c r="E9" s="2949"/>
      <c r="F9" s="2949"/>
      <c r="G9" s="2955">
        <f>SUM(G4:G8)</f>
        <v>34183.760000000002</v>
      </c>
      <c r="L9">
        <f>L4*M4+L5*M5+L6*M6+L7*M7+L8*M8</f>
        <v>0.35126000000000002</v>
      </c>
    </row>
    <row r="10" spans="1:13" ht="15.6">
      <c r="A10" s="3311" t="s">
        <v>3069</v>
      </c>
      <c r="B10" s="3311"/>
      <c r="C10" s="3311"/>
      <c r="D10" s="3311"/>
      <c r="E10" s="3311"/>
      <c r="F10" s="3311"/>
      <c r="G10" s="3311"/>
      <c r="H10" s="3311"/>
    </row>
    <row r="11" spans="1:13">
      <c r="D11" s="2949"/>
      <c r="E11" s="2949"/>
      <c r="F11" s="2949"/>
      <c r="G11" s="2949"/>
    </row>
    <row r="12" spans="1:13">
      <c r="A12" t="s">
        <v>3070</v>
      </c>
      <c r="D12" s="2949"/>
      <c r="E12" s="2949"/>
      <c r="F12" s="2949"/>
      <c r="G12" s="2949"/>
    </row>
    <row r="13" spans="1:13" ht="15.6">
      <c r="A13" s="2950" t="s">
        <v>3051</v>
      </c>
      <c r="B13" s="2950" t="s">
        <v>3052</v>
      </c>
      <c r="C13" s="2952"/>
      <c r="D13" s="2952" t="s">
        <v>3071</v>
      </c>
      <c r="E13" s="2951"/>
      <c r="F13" s="2951" t="s">
        <v>3056</v>
      </c>
      <c r="G13" s="2951"/>
      <c r="H13" s="2952"/>
    </row>
    <row r="14" spans="1:13">
      <c r="A14" s="2951" t="s">
        <v>3059</v>
      </c>
      <c r="B14" s="2953" t="s">
        <v>3060</v>
      </c>
      <c r="C14" s="2952"/>
      <c r="D14" s="2952" t="s">
        <v>3072</v>
      </c>
      <c r="E14" s="2951"/>
      <c r="F14" s="2951">
        <v>10</v>
      </c>
      <c r="G14" s="2951"/>
      <c r="H14" s="2952"/>
    </row>
    <row r="15" spans="1:13">
      <c r="A15" s="2951" t="s">
        <v>3061</v>
      </c>
      <c r="B15" s="2953" t="s">
        <v>3062</v>
      </c>
      <c r="C15" s="2952"/>
      <c r="D15" s="2952" t="s">
        <v>3073</v>
      </c>
      <c r="E15" s="2951"/>
      <c r="F15" s="2951">
        <v>12</v>
      </c>
      <c r="G15" s="2951"/>
      <c r="H15" s="2952" t="s">
        <v>3063</v>
      </c>
    </row>
    <row r="16" spans="1:13">
      <c r="A16" s="2951" t="s">
        <v>3064</v>
      </c>
      <c r="B16" s="2953" t="s">
        <v>3065</v>
      </c>
      <c r="C16" s="2952"/>
      <c r="D16" s="2952" t="s">
        <v>3072</v>
      </c>
      <c r="E16" s="2951"/>
      <c r="F16" s="2951">
        <v>13</v>
      </c>
      <c r="G16" s="2951"/>
      <c r="H16" s="2952"/>
    </row>
    <row r="17" spans="1:8">
      <c r="A17" s="2951" t="s">
        <v>3066</v>
      </c>
      <c r="B17" s="2953" t="s">
        <v>3065</v>
      </c>
      <c r="C17" s="2952"/>
      <c r="D17" s="2952" t="s">
        <v>3072</v>
      </c>
      <c r="E17" s="2951"/>
      <c r="F17" s="2951">
        <v>17</v>
      </c>
      <c r="G17" s="2951"/>
      <c r="H17" s="2952"/>
    </row>
    <row r="18" spans="1:8">
      <c r="A18" s="2951" t="s">
        <v>3067</v>
      </c>
      <c r="B18" s="2953" t="s">
        <v>3068</v>
      </c>
      <c r="C18" s="2952"/>
      <c r="D18" s="2952" t="s">
        <v>3072</v>
      </c>
      <c r="E18" s="2951"/>
      <c r="F18" s="2951">
        <v>21</v>
      </c>
      <c r="G18" s="2951"/>
      <c r="H18" s="2952"/>
    </row>
    <row r="19" spans="1:8" ht="15.6">
      <c r="A19" s="3311" t="s">
        <v>3074</v>
      </c>
      <c r="B19" s="3311"/>
      <c r="C19" s="3311"/>
      <c r="D19" s="3311"/>
      <c r="E19" s="3311"/>
      <c r="F19" s="2949"/>
      <c r="G19" s="2949"/>
    </row>
    <row r="22" spans="1:8">
      <c r="C22">
        <v>14269.74</v>
      </c>
    </row>
    <row r="23" spans="1:8">
      <c r="C23">
        <v>9153.9</v>
      </c>
    </row>
    <row r="24" spans="1:8">
      <c r="C24">
        <v>15450.96</v>
      </c>
      <c r="G24">
        <f>44000-G9</f>
        <v>9816.239999999998</v>
      </c>
    </row>
    <row r="25" spans="1:8">
      <c r="C25">
        <v>15309.34</v>
      </c>
    </row>
    <row r="26" spans="1:8">
      <c r="C26">
        <v>12789.4</v>
      </c>
      <c r="G26">
        <f>45000+10000</f>
        <v>55000</v>
      </c>
    </row>
    <row r="27" spans="1:8">
      <c r="C27">
        <f>SUM(C22:C26)</f>
        <v>66973.34</v>
      </c>
    </row>
  </sheetData>
  <mergeCells count="4">
    <mergeCell ref="A1:G1"/>
    <mergeCell ref="A2:C2"/>
    <mergeCell ref="A10:H10"/>
    <mergeCell ref="A19:E19"/>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99" t="s">
        <v>1657</v>
      </c>
      <c r="B1" s="3099"/>
      <c r="C1" s="3099"/>
      <c r="D1" s="3099"/>
    </row>
    <row r="2" spans="1:4" ht="17.399999999999999">
      <c r="A2" s="3100" t="s">
        <v>1641</v>
      </c>
      <c r="B2" s="3100"/>
      <c r="C2" s="3100"/>
      <c r="D2" s="3100"/>
    </row>
    <row r="3" spans="1:4" ht="17.399999999999999">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7.399999999999999">
      <c r="A6" s="3100" t="s">
        <v>1647</v>
      </c>
      <c r="B6" s="3100"/>
      <c r="C6" s="3100"/>
      <c r="D6" s="3100"/>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3101" t="s">
        <v>1650</v>
      </c>
      <c r="B11" s="3102"/>
      <c r="C11" s="3102"/>
      <c r="D11" s="3102"/>
    </row>
    <row r="12" spans="1:4" ht="15.6">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102" t="str">
        <f>IF(项目基本情况!B8="抵押","4.本次评估估价师所知悉的法定优先受偿款情况说明如下：","——")</f>
        <v>4.本次评估估价师所知悉的法定优先受偿款情况说明如下：</v>
      </c>
      <c r="B14" s="3103"/>
      <c r="C14" s="3103"/>
      <c r="D14" s="3103"/>
    </row>
    <row r="15" spans="1:4" ht="42" customHeight="1">
      <c r="A15" s="3102" t="str">
        <f>IF(项目基本情况!B8="抵押","（1）"&amp;CONCATENATE(项目基本情况!L20,项目基本情况!L21,项目基本情况!L22),"——")</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5" t="s">
        <v>1651</v>
      </c>
      <c r="B16" s="3105"/>
      <c r="C16" s="3105"/>
      <c r="D16" s="3105"/>
    </row>
    <row r="17" spans="1:4" ht="144" customHeight="1">
      <c r="A17" s="3105" t="s">
        <v>1652</v>
      </c>
      <c r="B17" s="3105"/>
      <c r="C17" s="3105"/>
      <c r="D17" s="3105"/>
    </row>
    <row r="18" spans="1:4" ht="15.75" customHeight="1">
      <c r="A18" s="3102" t="str">
        <f>IF(项目基本情况!B8="抵押",结果表!K120,"——")</f>
        <v>故，本次评估估价师知悉的法定优先受偿款为人民币409.62万元整。</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2"/>
      <c r="C20" s="3102"/>
      <c r="D20" s="3102"/>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6"/>
      <c r="C21" s="3106"/>
      <c r="D21" s="3106"/>
    </row>
    <row r="22" spans="1:4" ht="18.75" customHeight="1">
      <c r="A22" s="3107" t="s">
        <v>1653</v>
      </c>
      <c r="B22" s="3107"/>
      <c r="C22" s="3107"/>
      <c r="D22" s="3107"/>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3104">
        <v>42551</v>
      </c>
      <c r="D31" s="31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3113" t="s">
        <v>1664</v>
      </c>
      <c r="B15" s="3108" t="s">
        <v>136</v>
      </c>
      <c r="C15" s="3109"/>
    </row>
    <row r="16" spans="1:7" ht="14.4">
      <c r="A16" s="3114"/>
      <c r="B16" s="3108" t="s">
        <v>69</v>
      </c>
      <c r="C16" s="3109"/>
    </row>
    <row r="17" spans="1:3" ht="14.4">
      <c r="A17" s="3114"/>
      <c r="B17" s="3111" t="s">
        <v>1665</v>
      </c>
      <c r="C17" s="1999" t="s">
        <v>1664</v>
      </c>
    </row>
    <row r="18" spans="1:3" ht="14.4">
      <c r="A18" s="3114"/>
      <c r="B18" s="3111"/>
      <c r="C18" s="1999" t="s">
        <v>1666</v>
      </c>
    </row>
    <row r="19" spans="1:3" ht="14.4">
      <c r="A19" s="3114"/>
      <c r="B19" s="3111"/>
      <c r="C19" s="1999" t="s">
        <v>1667</v>
      </c>
    </row>
    <row r="20" spans="1:3" ht="14.4">
      <c r="A20" s="3115"/>
      <c r="B20" s="3110" t="s">
        <v>1668</v>
      </c>
      <c r="C20" s="3109"/>
    </row>
    <row r="21" spans="1:3" ht="14.4">
      <c r="A21" s="2000" t="s">
        <v>1669</v>
      </c>
      <c r="B21" s="2001"/>
      <c r="C21" s="2002"/>
    </row>
    <row r="22" spans="1:3" ht="14.4">
      <c r="A22" s="3112" t="s">
        <v>1670</v>
      </c>
      <c r="B22" s="3110" t="s">
        <v>1671</v>
      </c>
      <c r="C22" s="3109"/>
    </row>
    <row r="23" spans="1:3" ht="14.4">
      <c r="A23" s="3112"/>
      <c r="B23" s="3110" t="s">
        <v>1672</v>
      </c>
      <c r="C23" s="3109"/>
    </row>
    <row r="24" spans="1:3" ht="14.4">
      <c r="A24" s="3112"/>
      <c r="B24" s="3110" t="s">
        <v>1673</v>
      </c>
      <c r="C24" s="3109"/>
    </row>
    <row r="25" spans="1:3" ht="14.4">
      <c r="A25" s="3112"/>
      <c r="B25" s="3111" t="s">
        <v>1674</v>
      </c>
      <c r="C25" s="1999" t="s">
        <v>1675</v>
      </c>
    </row>
    <row r="26" spans="1:3" ht="14.4">
      <c r="A26" s="3112"/>
      <c r="B26" s="3111"/>
      <c r="C26" s="1999" t="s">
        <v>1676</v>
      </c>
    </row>
    <row r="27" spans="1:3" ht="14.4">
      <c r="A27" s="3112"/>
      <c r="B27" s="3111"/>
      <c r="C27" s="1999" t="s">
        <v>1677</v>
      </c>
    </row>
    <row r="28" spans="1:3" ht="14.4">
      <c r="A28" s="3112"/>
      <c r="B28" s="3111"/>
      <c r="C28" s="1999" t="s">
        <v>1678</v>
      </c>
    </row>
    <row r="29" spans="1:3" ht="14.4">
      <c r="A29" s="3112"/>
      <c r="B29" s="3111"/>
      <c r="C29" s="1999" t="s">
        <v>1679</v>
      </c>
    </row>
    <row r="30" spans="1:3" ht="14.4">
      <c r="A30" s="3112"/>
      <c r="B30" s="3111"/>
      <c r="C30" s="1999" t="s">
        <v>1680</v>
      </c>
    </row>
    <row r="31" spans="1:3" ht="14.4">
      <c r="A31" s="3112"/>
      <c r="B31" s="3111"/>
      <c r="C31" s="1999" t="s">
        <v>1681</v>
      </c>
    </row>
    <row r="32" spans="1:3" ht="14.4">
      <c r="A32" s="3112"/>
      <c r="B32" s="3111"/>
      <c r="C32" s="1999" t="s">
        <v>1682</v>
      </c>
    </row>
    <row r="33" spans="1:3" ht="14.4">
      <c r="A33" s="3112"/>
      <c r="B33" s="3111"/>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43769</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3"/>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3030</v>
      </c>
      <c r="B14" s="1022">
        <f ca="1">IF(C14&lt;B2,"已过期",1120040230)</f>
        <v>1120040230</v>
      </c>
      <c r="C14" s="2346">
        <v>43835</v>
      </c>
      <c r="D14" s="2349" t="s">
        <v>3030</v>
      </c>
      <c r="E14" s="1022">
        <f ca="1">IF(F14&lt;B2,"已过期",98030020)</f>
        <v>98030020</v>
      </c>
      <c r="F14" s="1030">
        <v>47118</v>
      </c>
    </row>
    <row r="15" spans="1:6" ht="24" customHeight="1">
      <c r="A15" s="1703" t="s">
        <v>3031</v>
      </c>
      <c r="B15" s="1022">
        <f ca="1">IF(C15&lt;B2,"已过期",1120070085)</f>
        <v>1120070085</v>
      </c>
      <c r="C15" s="2346">
        <v>43814</v>
      </c>
      <c r="D15" s="2350" t="s">
        <v>3031</v>
      </c>
      <c r="E15" s="1022">
        <f ca="1">IF(F15&lt;B2,"已过期",2004110128)</f>
        <v>2004110128</v>
      </c>
      <c r="F15" s="1023">
        <v>47118</v>
      </c>
    </row>
    <row r="16" spans="1:6" ht="24" customHeight="1">
      <c r="A16" s="1702" t="s">
        <v>3032</v>
      </c>
      <c r="B16" s="1022">
        <f ca="1">IF(C16&lt;B2,"已过期",1120140022)</f>
        <v>1120140022</v>
      </c>
      <c r="C16" s="2923">
        <v>44029</v>
      </c>
      <c r="D16" s="2349" t="s">
        <v>3032</v>
      </c>
      <c r="E16" s="1022">
        <f ca="1">IF(F16&lt;B2,"已过期",2008110059)</f>
        <v>2008110059</v>
      </c>
      <c r="F16" s="1030">
        <v>47177</v>
      </c>
    </row>
    <row r="17" spans="1:7" ht="24" customHeight="1">
      <c r="A17" s="1702"/>
      <c r="B17" s="1022"/>
      <c r="C17" s="2346"/>
      <c r="D17" s="2349" t="s">
        <v>3033</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3">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116" t="s">
        <v>843</v>
      </c>
      <c r="B25" s="3116"/>
      <c r="C25" s="3116"/>
      <c r="D25" s="3116"/>
      <c r="E25" s="3116"/>
      <c r="F25" s="3116"/>
      <c r="G25" s="3116"/>
    </row>
    <row r="26" spans="1:7" s="1025" customFormat="1" ht="24" customHeight="1">
      <c r="A26" s="3117" t="s">
        <v>844</v>
      </c>
      <c r="B26" s="3117"/>
      <c r="C26" s="3118"/>
      <c r="D26" s="3119" t="s">
        <v>845</v>
      </c>
      <c r="E26" s="3117"/>
      <c r="F26" s="3117"/>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3037</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137</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权属</vt:lpstr>
      <vt:lpstr>面积清单</vt:lpstr>
      <vt:lpstr>Sheet2</vt:lpstr>
      <vt:lpstr>分房号清单</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(商业)</vt:lpstr>
      <vt:lpstr>成本法 (商业)</vt:lpstr>
      <vt:lpstr>假设开发法 (商业)</vt:lpstr>
      <vt:lpstr>收益法</vt:lpstr>
      <vt:lpstr>收益法 (元)</vt:lpstr>
      <vt:lpstr>Sheet1</vt:lpstr>
      <vt:lpstr>Sheet3</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2019-10-31T06:10:54Z</dcterms:modified>
</cp:coreProperties>
</file>